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yectos_2016\Sedapal\Exp. Tecnico_Pozo P-315\03 Exp. Tecnico\20 Ingenia del Proyecto\"/>
    </mc:Choice>
  </mc:AlternateContent>
  <bookViews>
    <workbookView xWindow="0" yWindow="120" windowWidth="20490" windowHeight="7575"/>
  </bookViews>
  <sheets>
    <sheet name="MR MEN JP" sheetId="1" r:id="rId1"/>
  </sheets>
  <externalReferences>
    <externalReference r:id="rId2"/>
  </externalReferences>
  <definedNames>
    <definedName name="_1_m" localSheetId="0">'MR MEN JP'!$D$124</definedName>
    <definedName name="_1_m">#REF!</definedName>
    <definedName name="_2Rn_m_fy" localSheetId="0">'MR MEN JP'!$D$123</definedName>
    <definedName name="_2Rn_m_fy">#REF!</definedName>
    <definedName name="a" localSheetId="0">'MR MEN JP'!#REF!</definedName>
    <definedName name="a">#REF!</definedName>
    <definedName name="altura_total" localSheetId="0">'MR MEN JP'!$I$13</definedName>
    <definedName name="altura_total">#REF!</definedName>
    <definedName name="_xlnm.Print_Area" localSheetId="0">'MR MEN JP'!$A$1:$J$210</definedName>
    <definedName name="AUTOS" localSheetId="0">'MR MEN JP'!$D$76</definedName>
    <definedName name="AUTOS">[1]Murobb!$B$75</definedName>
    <definedName name="b" localSheetId="0">'MR MEN JP'!$J$21</definedName>
    <definedName name="b">#REF!</definedName>
    <definedName name="Base" localSheetId="0">'MR MEN JP'!$D$68</definedName>
    <definedName name="Base">#REF!</definedName>
    <definedName name="CM" localSheetId="0">'MR MEN JP'!$H$118</definedName>
    <definedName name="CM">[1]Murobb!$D$51</definedName>
    <definedName name="coeficientedefriccion" localSheetId="0">'MR MEN JP'!$I$11</definedName>
    <definedName name="coeficientedefriccion">#REF!</definedName>
    <definedName name="corona" localSheetId="0">'MR MEN JP'!$J$20</definedName>
    <definedName name="corona">#REF!</definedName>
    <definedName name="Cos_delta_beta_teta" localSheetId="0">'MR MEN JP'!#REF!</definedName>
    <definedName name="Cos_delta_beta_teta">#REF!</definedName>
    <definedName name="Cos_i_beta" localSheetId="0">'MR MEN JP'!#REF!</definedName>
    <definedName name="Cos_i_beta">#REF!</definedName>
    <definedName name="Cos_teta" localSheetId="0">'MR MEN JP'!#REF!</definedName>
    <definedName name="Cos_teta">#REF!</definedName>
    <definedName name="Cos2_phi_teta_beta" localSheetId="0">'MR MEN JP'!#REF!</definedName>
    <definedName name="Cos2_phi_teta_beta">#REF!</definedName>
    <definedName name="Cos2beta" localSheetId="0">'MR MEN JP'!#REF!</definedName>
    <definedName name="Cos2beta">#REF!</definedName>
    <definedName name="CV" localSheetId="0">'MR MEN JP'!$F$117</definedName>
    <definedName name="CV">[1]Murobb!$B$51</definedName>
    <definedName name="deltav">'[1](1)'!$E$32</definedName>
    <definedName name="e" localSheetId="0">'MR MEN JP'!$D$88</definedName>
    <definedName name="e">#REF!</definedName>
    <definedName name="Ea" localSheetId="0">'MR MEN JP'!$I$40</definedName>
    <definedName name="Ea">#REF!</definedName>
    <definedName name="Eae" localSheetId="0">'MR MEN JP'!#REF!</definedName>
    <definedName name="Eae">#REF!</definedName>
    <definedName name="Empuje">'[1](1)'!$E$30</definedName>
    <definedName name="Empujeactivodinamico" localSheetId="0">'MR MEN JP'!#REF!</definedName>
    <definedName name="Empujeactivodinamico">#REF!</definedName>
    <definedName name="espesorzapata" localSheetId="0">'MR MEN JP'!$J$19</definedName>
    <definedName name="espesorzapata">#REF!</definedName>
    <definedName name="fc__" localSheetId="0">'MR MEN JP'!$I$8</definedName>
    <definedName name="fc__">#REF!</definedName>
    <definedName name="Fy__" localSheetId="0">'MR MEN JP'!$I$9</definedName>
    <definedName name="Fy__">#REF!</definedName>
    <definedName name="hsobrealtura" localSheetId="0">'MR MEN JP'!$I$44</definedName>
    <definedName name="hsobrealtura">#REF!</definedName>
    <definedName name="i" localSheetId="0">'MR MEN JP'!#REF!</definedName>
    <definedName name="i">#REF!</definedName>
    <definedName name="Ka" localSheetId="0">'MR MEN JP'!$I$38</definedName>
    <definedName name="Ka">#REF!</definedName>
    <definedName name="Kae" localSheetId="0">'MR MEN JP'!#REF!</definedName>
    <definedName name="Kae">#REF!</definedName>
    <definedName name="Kh" localSheetId="0">'MR MEN JP'!#REF!</definedName>
    <definedName name="Kh">#REF!</definedName>
    <definedName name="Kv" localSheetId="0">'MR MEN JP'!#REF!</definedName>
    <definedName name="Kv">#REF!</definedName>
    <definedName name="m" localSheetId="0">'MR MEN JP'!$D$120</definedName>
    <definedName name="m">#REF!</definedName>
    <definedName name="Mu" localSheetId="0">'MR MEN JP'!$D$118</definedName>
    <definedName name="Mu">#REF!</definedName>
    <definedName name="Ǿ" localSheetId="0">'MR MEN JP'!$I$10</definedName>
    <definedName name="Ǿ">#REF!</definedName>
    <definedName name="Ǿrad" localSheetId="0">'MR MEN JP'!$I$10</definedName>
    <definedName name="Ǿrad">#REF!</definedName>
    <definedName name="peHA" localSheetId="0">'MR MEN JP'!$K$118</definedName>
    <definedName name="peHA">[1]Murobb!$G$51</definedName>
    <definedName name="raiz_1_2Rn_m_fy" localSheetId="0">'MR MEN JP'!$D$125</definedName>
    <definedName name="raiz_1_2Rn_m_fy">#REF!</definedName>
    <definedName name="relleno" localSheetId="0">'MR MEN JP'!$D$77</definedName>
    <definedName name="relleno">[1]Murobb!$B$76</definedName>
    <definedName name="Rn" localSheetId="0">'MR MEN JP'!$D$122</definedName>
    <definedName name="Rn">#REF!</definedName>
    <definedName name="Sen_phi_delta" localSheetId="0">'MR MEN JP'!#REF!</definedName>
    <definedName name="Sen_phi_delta">#REF!</definedName>
    <definedName name="Sen_phi_teta_i" localSheetId="0">'MR MEN JP'!#REF!</definedName>
    <definedName name="Sen_phi_teta_i">#REF!</definedName>
    <definedName name="sobrecarga" localSheetId="0">'MR MEN JP'!$I$14</definedName>
    <definedName name="sobrecarga">#REF!</definedName>
    <definedName name="SumVerticales" localSheetId="0">'MR MEN JP'!$D$80</definedName>
    <definedName name="SumVerticales">#REF!</definedName>
    <definedName name="talon" localSheetId="0">'MR MEN JP'!$F$170</definedName>
    <definedName name="talon">[1]Murobb!$D$164</definedName>
    <definedName name="TIERRA" localSheetId="0">'MR MEN JP'!$D$75</definedName>
    <definedName name="TIERRA">[1]Murobb!$B$74</definedName>
    <definedName name="β" localSheetId="0">'MR MEN JP'!#REF!</definedName>
    <definedName name="β">#REF!</definedName>
    <definedName name="δ" localSheetId="0">'MR MEN JP'!#REF!</definedName>
    <definedName name="δ">#REF!</definedName>
    <definedName name="θ" localSheetId="0">'MR MEN JP'!#REF!</definedName>
    <definedName name="θ">#REF!</definedName>
    <definedName name="ψ" localSheetId="0">'MR MEN JP'!#REF!</definedName>
    <definedName name="ψ">#REF!</definedName>
    <definedName name="ﻻ" localSheetId="0">'MR MEN JP'!$I$12</definedName>
    <definedName name="ﻻ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F43" i="1"/>
  <c r="D158" i="1"/>
  <c r="D157" i="1"/>
  <c r="D156" i="1"/>
  <c r="D155" i="1"/>
  <c r="D154" i="1"/>
  <c r="D153" i="1"/>
  <c r="F117" i="1"/>
  <c r="G187" i="1"/>
  <c r="G186" i="1"/>
  <c r="G185" i="1"/>
  <c r="C187" i="1"/>
  <c r="C186" i="1"/>
  <c r="C185" i="1"/>
  <c r="C181" i="1"/>
  <c r="C180" i="1"/>
  <c r="C179" i="1"/>
  <c r="C178" i="1"/>
  <c r="C177" i="1"/>
  <c r="C176" i="1"/>
  <c r="K118" i="1" l="1"/>
  <c r="D45" i="1" l="1"/>
  <c r="D47" i="1"/>
  <c r="I21" i="1"/>
  <c r="I19" i="1"/>
  <c r="I20" i="1"/>
  <c r="I23" i="1" l="1"/>
  <c r="D29" i="1"/>
  <c r="D51" i="1" s="1"/>
  <c r="D113" i="1" s="1"/>
  <c r="G59" i="1"/>
  <c r="I35" i="1"/>
  <c r="I37" i="1" s="1"/>
  <c r="C41" i="1"/>
  <c r="C201" i="1" s="1"/>
  <c r="I41" i="1"/>
  <c r="F78" i="1" s="1"/>
  <c r="C143" i="1"/>
  <c r="C165" i="1" s="1"/>
  <c r="C45" i="1"/>
  <c r="C206" i="1" s="1"/>
  <c r="E45" i="1"/>
  <c r="E67" i="1" s="1"/>
  <c r="D68" i="1"/>
  <c r="I85" i="1" s="1"/>
  <c r="I44" i="1"/>
  <c r="I46" i="1"/>
  <c r="I61" i="1" s="1"/>
  <c r="C62" i="1"/>
  <c r="J83" i="1"/>
  <c r="G87" i="1"/>
  <c r="I104" i="1"/>
  <c r="H112" i="1"/>
  <c r="H118" i="1"/>
  <c r="D120" i="1"/>
  <c r="D124" i="1" s="1"/>
  <c r="G124" i="1"/>
  <c r="G125" i="1"/>
  <c r="G126" i="1"/>
  <c r="D127" i="1"/>
  <c r="G127" i="1"/>
  <c r="G128" i="1"/>
  <c r="G129" i="1"/>
  <c r="E132" i="1"/>
  <c r="E133" i="1"/>
  <c r="E134" i="1"/>
  <c r="E135" i="1"/>
  <c r="E136" i="1"/>
  <c r="G134" i="1"/>
  <c r="E137" i="1"/>
  <c r="G135" i="1"/>
  <c r="G136" i="1"/>
  <c r="G137" i="1"/>
  <c r="I148" i="1"/>
  <c r="I151" i="1" s="1"/>
  <c r="I154" i="1"/>
  <c r="I171" i="1"/>
  <c r="I174" i="1" s="1"/>
  <c r="H177" i="1"/>
  <c r="D183" i="1"/>
  <c r="M192" i="1"/>
  <c r="M193" i="1"/>
  <c r="M194" i="1"/>
  <c r="M195" i="1"/>
  <c r="M196" i="1"/>
  <c r="M197" i="1"/>
  <c r="M198" i="1"/>
  <c r="M199" i="1"/>
  <c r="E206" i="1" l="1"/>
  <c r="D191" i="1"/>
  <c r="D128" i="1"/>
  <c r="H132" i="1" s="1"/>
  <c r="H134" i="1" s="1"/>
  <c r="I134" i="1" s="1"/>
  <c r="I36" i="1"/>
  <c r="I38" i="1" s="1"/>
  <c r="D109" i="1" s="1"/>
  <c r="C67" i="1"/>
  <c r="D184" i="1"/>
  <c r="D185" i="1" s="1"/>
  <c r="E185" i="1" s="1"/>
  <c r="F79" i="1"/>
  <c r="D76" i="1"/>
  <c r="F64" i="1"/>
  <c r="D208" i="1"/>
  <c r="F204" i="1"/>
  <c r="H63" i="1"/>
  <c r="C196" i="1"/>
  <c r="I84" i="1"/>
  <c r="F74" i="1"/>
  <c r="E164" i="1"/>
  <c r="I24" i="1"/>
  <c r="E97" i="1"/>
  <c r="D221" i="1"/>
  <c r="H182" i="1" l="1"/>
  <c r="H183" i="1" s="1"/>
  <c r="H185" i="1" s="1"/>
  <c r="I185" i="1" s="1"/>
  <c r="B63" i="1"/>
  <c r="D108" i="1"/>
  <c r="H135" i="1"/>
  <c r="I135" i="1" s="1"/>
  <c r="N199" i="1" s="1"/>
  <c r="H136" i="1"/>
  <c r="I136" i="1" s="1"/>
  <c r="H137" i="1"/>
  <c r="I137" i="1" s="1"/>
  <c r="I40" i="1"/>
  <c r="H82" i="1" s="1"/>
  <c r="D186" i="1"/>
  <c r="E186" i="1" s="1"/>
  <c r="F77" i="1"/>
  <c r="D97" i="1"/>
  <c r="D144" i="1" s="1"/>
  <c r="D166" i="1" s="1"/>
  <c r="F170" i="1" s="1"/>
  <c r="D77" i="1"/>
  <c r="F73" i="1"/>
  <c r="F75" i="1"/>
  <c r="F76" i="1" s="1"/>
  <c r="G76" i="1" s="1"/>
  <c r="D187" i="1"/>
  <c r="E187" i="1" s="1"/>
  <c r="N198" i="1" s="1"/>
  <c r="F57" i="1"/>
  <c r="D75" i="1" s="1"/>
  <c r="I45" i="1"/>
  <c r="I56" i="1" s="1"/>
  <c r="I141" i="1"/>
  <c r="H161" i="1"/>
  <c r="D74" i="1"/>
  <c r="G74" i="1" s="1"/>
  <c r="J109" i="1"/>
  <c r="J108" i="1"/>
  <c r="E144" i="1"/>
  <c r="D112" i="1" l="1"/>
  <c r="D114" i="1" s="1"/>
  <c r="H114" i="1" s="1"/>
  <c r="D73" i="1"/>
  <c r="G73" i="1" s="1"/>
  <c r="H186" i="1"/>
  <c r="I186" i="1" s="1"/>
  <c r="H187" i="1"/>
  <c r="I187" i="1" s="1"/>
  <c r="N195" i="1" s="1"/>
  <c r="N197" i="1"/>
  <c r="E78" i="1"/>
  <c r="H78" i="1" s="1"/>
  <c r="H60" i="1"/>
  <c r="E104" i="1"/>
  <c r="G75" i="1"/>
  <c r="G77" i="1"/>
  <c r="E79" i="1"/>
  <c r="H79" i="1" s="1"/>
  <c r="D118" i="1"/>
  <c r="D122" i="1" s="1"/>
  <c r="D123" i="1" s="1"/>
  <c r="D125" i="1" s="1"/>
  <c r="D126" i="1" s="1"/>
  <c r="H119" i="1" s="1"/>
  <c r="H120" i="1" s="1"/>
  <c r="H126" i="1" s="1"/>
  <c r="I126" i="1" s="1"/>
  <c r="E151" i="1"/>
  <c r="E166" i="1"/>
  <c r="D80" i="1" l="1"/>
  <c r="N193" i="1"/>
  <c r="E80" i="1"/>
  <c r="G80" i="1"/>
  <c r="H80" i="1"/>
  <c r="H125" i="1"/>
  <c r="I125" i="1" s="1"/>
  <c r="H129" i="1"/>
  <c r="I129" i="1" s="1"/>
  <c r="H128" i="1"/>
  <c r="I128" i="1" s="1"/>
  <c r="N196" i="1" s="1"/>
  <c r="H124" i="1"/>
  <c r="I124" i="1" s="1"/>
  <c r="H127" i="1"/>
  <c r="I127" i="1" s="1"/>
  <c r="F82" i="1" l="1"/>
  <c r="E83" i="1"/>
  <c r="F83" i="1" s="1"/>
  <c r="E84" i="1"/>
  <c r="D88" i="1" s="1"/>
  <c r="G84" i="1" l="1"/>
  <c r="D90" i="1"/>
  <c r="G98" i="1" s="1"/>
  <c r="G146" i="1" s="1"/>
  <c r="G168" i="1" s="1"/>
  <c r="D89" i="1"/>
  <c r="G89" i="1" l="1"/>
  <c r="C99" i="1"/>
  <c r="C147" i="1" l="1"/>
  <c r="I94" i="1"/>
  <c r="I99" i="1" l="1"/>
  <c r="E147" i="1"/>
  <c r="I143" i="1" s="1"/>
  <c r="I149" i="1" s="1"/>
  <c r="I150" i="1" s="1"/>
  <c r="I152" i="1" s="1"/>
  <c r="I153" i="1" s="1"/>
  <c r="I155" i="1" s="1"/>
  <c r="I156" i="1" s="1"/>
  <c r="C169" i="1"/>
  <c r="H162" i="1" s="1"/>
  <c r="I98" i="1"/>
  <c r="I100" i="1" l="1"/>
  <c r="E169" i="1"/>
  <c r="I169" i="1" s="1"/>
  <c r="I172" i="1" s="1"/>
  <c r="I173" i="1" s="1"/>
  <c r="I175" i="1" s="1"/>
  <c r="I176" i="1" s="1"/>
  <c r="H178" i="1" s="1"/>
  <c r="H179" i="1" s="1"/>
  <c r="I164" i="1"/>
  <c r="I165" i="1" s="1"/>
  <c r="I166" i="1" s="1"/>
  <c r="I142" i="1"/>
  <c r="I144" i="1" s="1"/>
  <c r="I145" i="1" s="1"/>
  <c r="E154" i="1"/>
  <c r="F154" i="1" s="1"/>
  <c r="E156" i="1"/>
  <c r="F156" i="1" s="1"/>
  <c r="E158" i="1"/>
  <c r="F158" i="1" s="1"/>
  <c r="E153" i="1"/>
  <c r="F153" i="1" s="1"/>
  <c r="E155" i="1"/>
  <c r="F155" i="1" s="1"/>
  <c r="E157" i="1"/>
  <c r="F157" i="1" s="1"/>
  <c r="N192" i="1" s="1"/>
  <c r="D177" i="1" l="1"/>
  <c r="E177" i="1" s="1"/>
  <c r="D178" i="1"/>
  <c r="E178" i="1" s="1"/>
  <c r="D180" i="1"/>
  <c r="E180" i="1" s="1"/>
  <c r="N194" i="1" s="1"/>
  <c r="D181" i="1"/>
  <c r="E181" i="1" s="1"/>
  <c r="D176" i="1"/>
  <c r="E176" i="1" s="1"/>
  <c r="D179" i="1"/>
  <c r="E179" i="1" s="1"/>
</calcChain>
</file>

<file path=xl/comments1.xml><?xml version="1.0" encoding="utf-8"?>
<comments xmlns="http://schemas.openxmlformats.org/spreadsheetml/2006/main">
  <authors>
    <author>ROBERTO ARENAS LOPEZ</author>
  </authors>
  <commentList>
    <comment ref="I8" authorId="0" shapeId="0">
      <text>
        <r>
          <rPr>
            <b/>
            <sz val="8"/>
            <color indexed="81"/>
            <rFont val="Tahoma"/>
            <family val="2"/>
          </rPr>
          <t>kg/cm2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9" authorId="0" shapeId="0">
      <text>
        <r>
          <rPr>
            <b/>
            <sz val="8"/>
            <color indexed="81"/>
            <rFont val="Tahoma"/>
            <family val="2"/>
          </rPr>
          <t>kg/cm2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0" authorId="0" shapeId="0">
      <text>
        <r>
          <rPr>
            <sz val="8"/>
            <color indexed="81"/>
            <rFont val="Tahoma"/>
            <family val="2"/>
          </rPr>
          <t>angulo de friccion interna
en grados</t>
        </r>
      </text>
    </comment>
    <comment ref="I11" authorId="0" shapeId="0">
      <text>
        <r>
          <rPr>
            <b/>
            <sz val="8"/>
            <color indexed="81"/>
            <rFont val="Tahoma"/>
            <family val="2"/>
          </rPr>
          <t>coeficiente de friccion
muro- suelo</t>
        </r>
      </text>
    </comment>
    <comment ref="I12" authorId="0" shapeId="0">
      <text>
        <r>
          <rPr>
            <b/>
            <sz val="8"/>
            <color indexed="81"/>
            <rFont val="Tahoma"/>
            <family val="2"/>
          </rPr>
          <t>peso unitario del relleno en tn/m3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3" authorId="0" shapeId="0">
      <text>
        <r>
          <rPr>
            <b/>
            <sz val="8"/>
            <color indexed="81"/>
            <rFont val="Tahoma"/>
            <family val="2"/>
          </rPr>
          <t xml:space="preserve">mts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4" authorId="0" shapeId="0">
      <text>
        <r>
          <rPr>
            <b/>
            <sz val="8"/>
            <color indexed="81"/>
            <rFont val="Tahoma"/>
            <family val="2"/>
          </rPr>
          <t>tn/m2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5" authorId="0" shapeId="0">
      <text>
        <r>
          <rPr>
            <b/>
            <sz val="8"/>
            <color indexed="81"/>
            <rFont val="Tahoma"/>
            <family val="2"/>
          </rPr>
          <t>mts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87" authorId="0" shapeId="0">
      <text>
        <r>
          <rPr>
            <sz val="8"/>
            <color indexed="81"/>
            <rFont val="Tahoma"/>
            <family val="2"/>
          </rPr>
          <t xml:space="preserve">TN/M2
</t>
        </r>
      </text>
    </comment>
  </commentList>
</comments>
</file>

<file path=xl/sharedStrings.xml><?xml version="1.0" encoding="utf-8"?>
<sst xmlns="http://schemas.openxmlformats.org/spreadsheetml/2006/main" count="238" uniqueCount="170">
  <si>
    <t>DATOS</t>
  </si>
  <si>
    <t>kg/cm2</t>
  </si>
  <si>
    <t>altura total</t>
  </si>
  <si>
    <t>m</t>
  </si>
  <si>
    <t>sobrecarga</t>
  </si>
  <si>
    <t>PREDIMENSIONAMIENTO</t>
  </si>
  <si>
    <t>ASUMIR</t>
  </si>
  <si>
    <t>Espesor zapata</t>
  </si>
  <si>
    <t>c</t>
  </si>
  <si>
    <t>b</t>
  </si>
  <si>
    <t>Base</t>
  </si>
  <si>
    <t>Talon</t>
  </si>
  <si>
    <t>B =(2/3)H</t>
  </si>
  <si>
    <t>c=H/10 o 0.3 el mayor de los dos</t>
  </si>
  <si>
    <t>espesor zapata=H/10</t>
  </si>
  <si>
    <t>b=H/12</t>
  </si>
  <si>
    <t>CALCULO DE LOS EMPUJES</t>
  </si>
  <si>
    <t>EMPUJE ACTIVO</t>
  </si>
  <si>
    <t>radianes</t>
  </si>
  <si>
    <t>Ka</t>
  </si>
  <si>
    <t>Ea</t>
  </si>
  <si>
    <t>pto. Aplicación</t>
  </si>
  <si>
    <t>SOBRECARGA</t>
  </si>
  <si>
    <t>h</t>
  </si>
  <si>
    <t>Esobrecarga</t>
  </si>
  <si>
    <t>pto aplicación</t>
  </si>
  <si>
    <t>ANALISIS DE ESTABILIDAD</t>
  </si>
  <si>
    <t>FUERZA (TN/MT)</t>
  </si>
  <si>
    <t>XA (M)</t>
  </si>
  <si>
    <t>Mav</t>
  </si>
  <si>
    <t>Mah</t>
  </si>
  <si>
    <t>Seccion</t>
  </si>
  <si>
    <t>Area</t>
  </si>
  <si>
    <t>Peso espec</t>
  </si>
  <si>
    <t>Peso/Unidad</t>
  </si>
  <si>
    <t>Brazo (O)</t>
  </si>
  <si>
    <t>Mto</t>
  </si>
  <si>
    <t>V</t>
  </si>
  <si>
    <t>H</t>
  </si>
  <si>
    <t>brazo</t>
  </si>
  <si>
    <t>Momento vert</t>
  </si>
  <si>
    <t>Mto hor</t>
  </si>
  <si>
    <t>Nª</t>
  </si>
  <si>
    <t>m2</t>
  </si>
  <si>
    <t>kg/m3</t>
  </si>
  <si>
    <t>Kg/m</t>
  </si>
  <si>
    <t>Kg*m</t>
  </si>
  <si>
    <t>kg/m</t>
  </si>
  <si>
    <t>kg*m</t>
  </si>
  <si>
    <t>P1</t>
  </si>
  <si>
    <t>P3</t>
  </si>
  <si>
    <t>P5</t>
  </si>
  <si>
    <t>P6</t>
  </si>
  <si>
    <t>P7</t>
  </si>
  <si>
    <t>Mo=</t>
  </si>
  <si>
    <t>FACTORES DE SEGURIDAD</t>
  </si>
  <si>
    <t>tn*m</t>
  </si>
  <si>
    <t>VOLCAMIENTO</t>
  </si>
  <si>
    <t>F.S</t>
  </si>
  <si>
    <t>aplicación resultante pto. A</t>
  </si>
  <si>
    <t>b/3</t>
  </si>
  <si>
    <t>2b/3</t>
  </si>
  <si>
    <t>PRESION DE SUELO</t>
  </si>
  <si>
    <t>Tn/m2</t>
  </si>
  <si>
    <t>σu</t>
  </si>
  <si>
    <t>e</t>
  </si>
  <si>
    <t>σ1</t>
  </si>
  <si>
    <t>σ2</t>
  </si>
  <si>
    <t>a</t>
  </si>
  <si>
    <t>σab</t>
  </si>
  <si>
    <t>R1</t>
  </si>
  <si>
    <t>R2</t>
  </si>
  <si>
    <t>Σfv</t>
  </si>
  <si>
    <t>kp</t>
  </si>
  <si>
    <t>ANALISIS ESTRUCTURAL</t>
  </si>
  <si>
    <t>PANTALLA</t>
  </si>
  <si>
    <t>Tn/m</t>
  </si>
  <si>
    <t>0.5*Ka*ﻻ*H^2</t>
  </si>
  <si>
    <t>h/3</t>
  </si>
  <si>
    <t>Es</t>
  </si>
  <si>
    <t>sobrecarga*Ka*(H)</t>
  </si>
  <si>
    <t>h/2</t>
  </si>
  <si>
    <t>Cortante</t>
  </si>
  <si>
    <t>Vu</t>
  </si>
  <si>
    <t>tn/M</t>
  </si>
  <si>
    <t>1.7*(Ea+Es)</t>
  </si>
  <si>
    <t>d</t>
  </si>
  <si>
    <t>cm</t>
  </si>
  <si>
    <t>(0.85*0.53*RAIZ(fc))</t>
  </si>
  <si>
    <t>vu</t>
  </si>
  <si>
    <t>Vu/d</t>
  </si>
  <si>
    <t>vu&lt;Φvc</t>
  </si>
  <si>
    <t>Flexion</t>
  </si>
  <si>
    <t>FVIVA</t>
  </si>
  <si>
    <t>FMUERTA</t>
  </si>
  <si>
    <t>Mu</t>
  </si>
  <si>
    <t>tn-mt</t>
  </si>
  <si>
    <t>ρdiseño</t>
  </si>
  <si>
    <t>Fy__/(0.85*fc__)</t>
  </si>
  <si>
    <t>As</t>
  </si>
  <si>
    <t>cm2</t>
  </si>
  <si>
    <t>Rn</t>
  </si>
  <si>
    <t>Mu*100000/(0.9*100*epant)</t>
  </si>
  <si>
    <t>Refuerzo vertical</t>
  </si>
  <si>
    <t>2Rn*m/fy</t>
  </si>
  <si>
    <t>separacion</t>
  </si>
  <si>
    <t>use S @</t>
  </si>
  <si>
    <t>1/m</t>
  </si>
  <si>
    <t>raiz(1-2Rn*m/fy)</t>
  </si>
  <si>
    <t>ρ</t>
  </si>
  <si>
    <t>pmin</t>
  </si>
  <si>
    <t>As temp</t>
  </si>
  <si>
    <t>(2 caras)</t>
  </si>
  <si>
    <t>Refuerzo horizontal (retraccion)</t>
  </si>
  <si>
    <t>c/cara</t>
  </si>
  <si>
    <t>use s @</t>
  </si>
  <si>
    <t>Va-b</t>
  </si>
  <si>
    <t>tn</t>
  </si>
  <si>
    <t>N</t>
  </si>
  <si>
    <r>
      <t>ρ</t>
    </r>
    <r>
      <rPr>
        <sz val="10"/>
        <color indexed="9"/>
        <rFont val="Arial Narrow"/>
        <family val="2"/>
      </rPr>
      <t>diseño</t>
    </r>
  </si>
  <si>
    <t>TALON</t>
  </si>
  <si>
    <t>σce</t>
  </si>
  <si>
    <t>.=((TIERRA+AUTOS)*(talon/2))+(A162*peHA*CM*talon*(talon/2))-(E165*talon*(talon/2))-((C166-E165)*0.5*talon*(talon/3))</t>
  </si>
  <si>
    <t>refuerzo horizontal</t>
  </si>
  <si>
    <t>ρmin</t>
  </si>
  <si>
    <t>Asmin</t>
  </si>
  <si>
    <t>RESUMEN DISEÑO</t>
  </si>
  <si>
    <t xml:space="preserve">Pos 1 </t>
  </si>
  <si>
    <t>Pos 2</t>
  </si>
  <si>
    <t>Pos 3</t>
  </si>
  <si>
    <t>Pos 4</t>
  </si>
  <si>
    <t>Pos 5</t>
  </si>
  <si>
    <t>Pos 6</t>
  </si>
  <si>
    <t>Pos 7</t>
  </si>
  <si>
    <t>Pos 8</t>
  </si>
  <si>
    <t>fc =</t>
  </si>
  <si>
    <t>fy =</t>
  </si>
  <si>
    <t>Ø =</t>
  </si>
  <si>
    <t>µ =</t>
  </si>
  <si>
    <r>
      <t xml:space="preserve"> </t>
    </r>
    <r>
      <rPr>
        <sz val="10"/>
        <rFont val="Symbol"/>
        <family val="1"/>
        <charset val="2"/>
      </rPr>
      <t>g</t>
    </r>
    <r>
      <rPr>
        <sz val="16"/>
        <rFont val="Arial Narrow"/>
        <family val="2"/>
      </rPr>
      <t xml:space="preserve"> =</t>
    </r>
  </si>
  <si>
    <t>Pie</t>
  </si>
  <si>
    <t>NOTAS:</t>
  </si>
  <si>
    <t>°</t>
  </si>
  <si>
    <t>Relleno delante muro</t>
  </si>
  <si>
    <t>Pie = 1/3 del ancho de la base</t>
  </si>
  <si>
    <t>E Sobrecarga</t>
  </si>
  <si>
    <t>CALCULO DE MURO EN VOLADIZO</t>
  </si>
  <si>
    <t>kg/cm²</t>
  </si>
  <si>
    <t>tn/m³</t>
  </si>
  <si>
    <t>tn/m²</t>
  </si>
  <si>
    <t>PIE</t>
  </si>
  <si>
    <t>AQ</t>
  </si>
  <si>
    <r>
      <t>σ</t>
    </r>
    <r>
      <rPr>
        <vertAlign val="subscript"/>
        <sz val="10"/>
        <rFont val="Arial Narrow"/>
        <family val="2"/>
      </rPr>
      <t>admisible</t>
    </r>
  </si>
  <si>
    <r>
      <t>As</t>
    </r>
    <r>
      <rPr>
        <vertAlign val="subscript"/>
        <sz val="10"/>
        <rFont val="Arial Narrow"/>
        <family val="2"/>
      </rPr>
      <t>diseño</t>
    </r>
  </si>
  <si>
    <t xml:space="preserve">     c</t>
  </si>
  <si>
    <t>Ø</t>
  </si>
  <si>
    <t>ρ   diseño</t>
  </si>
  <si>
    <t>As  diseño</t>
  </si>
  <si>
    <t>Φ vc</t>
  </si>
  <si>
    <t>vu &lt; Φ vc</t>
  </si>
  <si>
    <r>
      <t>kg/cm</t>
    </r>
    <r>
      <rPr>
        <vertAlign val="superscript"/>
        <sz val="10"/>
        <rFont val="Arial Narrow"/>
        <family val="2"/>
      </rPr>
      <t>2</t>
    </r>
  </si>
  <si>
    <t>DENSIDAD CONCRETO(tn/m³)</t>
  </si>
  <si>
    <t>cm²</t>
  </si>
  <si>
    <r>
      <t>As-cm</t>
    </r>
    <r>
      <rPr>
        <vertAlign val="superscript"/>
        <sz val="10"/>
        <rFont val="Arial Narrow"/>
        <family val="2"/>
      </rPr>
      <t>2</t>
    </r>
  </si>
  <si>
    <t>Ø 3/8" @ 0.20</t>
  </si>
  <si>
    <t>Ø 3/8" @ 0.25</t>
  </si>
  <si>
    <t>1-Sen Ø</t>
  </si>
  <si>
    <t>1+Sen Ø</t>
  </si>
  <si>
    <t>Proyecto:</t>
  </si>
  <si>
    <t>Perforación del pozo sustituto PS-315 para el abastecimiento de agua potable en el cercado pueblo del Distrito de Pachacamac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</si>
</sst>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0.0"/>
    <numFmt numFmtId="167" formatCode="0.0000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9"/>
      <name val="Calibri"/>
      <family val="2"/>
      <scheme val="minor"/>
    </font>
    <font>
      <sz val="10"/>
      <color theme="0"/>
      <name val="Arial Narrow"/>
      <family val="2"/>
    </font>
    <font>
      <sz val="10"/>
      <color indexed="9"/>
      <name val="Arial Narrow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name val="Arial Narrow"/>
      <family val="2"/>
    </font>
    <font>
      <b/>
      <sz val="9"/>
      <name val="Arial Narrow"/>
      <family val="2"/>
    </font>
    <font>
      <b/>
      <sz val="8"/>
      <color theme="0"/>
      <name val="Arial Narrow"/>
      <family val="2"/>
    </font>
    <font>
      <sz val="8"/>
      <name val="Arial Narrow"/>
      <family val="2"/>
    </font>
    <font>
      <sz val="8"/>
      <color theme="0"/>
      <name val="Arial Narrow"/>
      <family val="2"/>
    </font>
    <font>
      <b/>
      <sz val="12"/>
      <name val="Arial Narrow"/>
      <family val="2"/>
    </font>
    <font>
      <b/>
      <u/>
      <sz val="14"/>
      <name val="Arial Narrow"/>
      <family val="2"/>
    </font>
    <font>
      <sz val="10"/>
      <name val="Symbol"/>
      <family val="1"/>
      <charset val="2"/>
    </font>
    <font>
      <sz val="16"/>
      <name val="Arial Narrow"/>
      <family val="2"/>
    </font>
    <font>
      <b/>
      <u/>
      <sz val="10"/>
      <name val="Arial Narrow"/>
      <family val="2"/>
    </font>
    <font>
      <vertAlign val="subscript"/>
      <sz val="10"/>
      <name val="Arial Narrow"/>
      <family val="2"/>
    </font>
    <font>
      <b/>
      <sz val="9.5"/>
      <name val="Arial Narrow"/>
      <family val="2"/>
    </font>
    <font>
      <vertAlign val="superscript"/>
      <sz val="10"/>
      <name val="Arial Narrow"/>
      <family val="2"/>
    </font>
    <font>
      <u/>
      <sz val="10"/>
      <name val="Arial Narrow"/>
      <family val="2"/>
    </font>
    <font>
      <sz val="10.5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1" fillId="0" borderId="0" xfId="1"/>
    <xf numFmtId="0" fontId="2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2" fontId="4" fillId="0" borderId="0" xfId="1" applyNumberFormat="1" applyFont="1" applyBorder="1" applyAlignment="1">
      <alignment horizontal="left"/>
    </xf>
    <xf numFmtId="2" fontId="5" fillId="0" borderId="0" xfId="1" applyNumberFormat="1" applyFont="1" applyBorder="1"/>
    <xf numFmtId="2" fontId="2" fillId="0" borderId="3" xfId="1" applyNumberFormat="1" applyFont="1" applyBorder="1" applyAlignment="1">
      <alignment horizontal="center"/>
    </xf>
    <xf numFmtId="2" fontId="3" fillId="0" borderId="3" xfId="1" applyNumberFormat="1" applyFont="1" applyBorder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/>
    <xf numFmtId="2" fontId="2" fillId="0" borderId="0" xfId="1" applyNumberFormat="1" applyFont="1" applyBorder="1" applyAlignment="1">
      <alignment horizontal="right"/>
    </xf>
    <xf numFmtId="2" fontId="3" fillId="0" borderId="0" xfId="1" applyNumberFormat="1" applyFont="1" applyBorder="1" applyAlignment="1">
      <alignment horizontal="center"/>
    </xf>
    <xf numFmtId="2" fontId="6" fillId="0" borderId="0" xfId="1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left"/>
    </xf>
    <xf numFmtId="2" fontId="3" fillId="0" borderId="0" xfId="1" applyNumberFormat="1" applyFont="1" applyBorder="1" applyAlignment="1">
      <alignment horizontal="left"/>
    </xf>
    <xf numFmtId="165" fontId="2" fillId="0" borderId="3" xfId="1" applyNumberFormat="1" applyFont="1" applyBorder="1" applyAlignment="1">
      <alignment horizontal="center"/>
    </xf>
    <xf numFmtId="1" fontId="2" fillId="0" borderId="3" xfId="1" applyNumberFormat="1" applyFont="1" applyBorder="1" applyAlignment="1">
      <alignment horizontal="center"/>
    </xf>
    <xf numFmtId="2" fontId="2" fillId="0" borderId="0" xfId="1" applyNumberFormat="1" applyFont="1" applyFill="1" applyBorder="1" applyAlignment="1">
      <alignment horizontal="center"/>
    </xf>
    <xf numFmtId="1" fontId="3" fillId="0" borderId="0" xfId="1" applyNumberFormat="1" applyFont="1" applyBorder="1" applyAlignment="1">
      <alignment horizontal="left"/>
    </xf>
    <xf numFmtId="1" fontId="2" fillId="0" borderId="0" xfId="1" applyNumberFormat="1" applyFont="1" applyBorder="1" applyAlignment="1">
      <alignment horizontal="center"/>
    </xf>
    <xf numFmtId="2" fontId="6" fillId="0" borderId="0" xfId="1" applyNumberFormat="1" applyFont="1" applyFill="1" applyBorder="1" applyAlignment="1">
      <alignment horizontal="left"/>
    </xf>
    <xf numFmtId="0" fontId="6" fillId="0" borderId="0" xfId="1" applyNumberFormat="1" applyFont="1" applyFill="1" applyBorder="1" applyAlignment="1">
      <alignment horizontal="right"/>
    </xf>
    <xf numFmtId="166" fontId="2" fillId="0" borderId="3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167" fontId="2" fillId="0" borderId="3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right"/>
    </xf>
    <xf numFmtId="1" fontId="4" fillId="0" borderId="0" xfId="1" applyNumberFormat="1" applyFont="1" applyBorder="1" applyAlignment="1">
      <alignment horizontal="center"/>
    </xf>
    <xf numFmtId="1" fontId="4" fillId="0" borderId="0" xfId="1" applyNumberFormat="1" applyFont="1" applyBorder="1" applyAlignment="1">
      <alignment horizontal="left"/>
    </xf>
    <xf numFmtId="2" fontId="2" fillId="0" borderId="0" xfId="1" applyNumberFormat="1" applyFont="1" applyBorder="1" applyAlignment="1">
      <alignment horizontal="center"/>
    </xf>
    <xf numFmtId="0" fontId="2" fillId="0" borderId="0" xfId="1" applyFont="1"/>
    <xf numFmtId="0" fontId="2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horizontal="center"/>
    </xf>
    <xf numFmtId="0" fontId="3" fillId="2" borderId="1" xfId="1" applyFont="1" applyFill="1" applyBorder="1"/>
    <xf numFmtId="0" fontId="3" fillId="2" borderId="2" xfId="1" applyFont="1" applyFill="1" applyBorder="1"/>
    <xf numFmtId="0" fontId="2" fillId="0" borderId="0" xfId="1" applyFont="1" applyFill="1"/>
    <xf numFmtId="0" fontId="2" fillId="2" borderId="2" xfId="1" applyFont="1" applyFill="1" applyBorder="1"/>
    <xf numFmtId="0" fontId="2" fillId="0" borderId="3" xfId="1" applyFont="1" applyBorder="1" applyAlignment="1">
      <alignment horizontal="left"/>
    </xf>
    <xf numFmtId="2" fontId="10" fillId="0" borderId="0" xfId="1" applyNumberFormat="1" applyFont="1"/>
    <xf numFmtId="2" fontId="10" fillId="0" borderId="0" xfId="1" applyNumberFormat="1" applyFont="1" applyBorder="1" applyAlignment="1">
      <alignment horizontal="right"/>
    </xf>
    <xf numFmtId="2" fontId="10" fillId="0" borderId="0" xfId="1" applyNumberFormat="1" applyFont="1" applyBorder="1" applyAlignment="1">
      <alignment horizontal="center"/>
    </xf>
    <xf numFmtId="2" fontId="10" fillId="0" borderId="0" xfId="1" applyNumberFormat="1" applyFont="1" applyBorder="1"/>
    <xf numFmtId="2" fontId="2" fillId="0" borderId="3" xfId="1" applyNumberFormat="1" applyFont="1" applyBorder="1" applyAlignment="1">
      <alignment horizontal="left"/>
    </xf>
    <xf numFmtId="0" fontId="2" fillId="0" borderId="0" xfId="1" applyFont="1" applyAlignment="1">
      <alignment horizontal="right"/>
    </xf>
    <xf numFmtId="2" fontId="2" fillId="0" borderId="0" xfId="1" applyNumberFormat="1" applyFont="1"/>
    <xf numFmtId="0" fontId="3" fillId="0" borderId="0" xfId="1" applyFont="1" applyBorder="1"/>
    <xf numFmtId="0" fontId="11" fillId="0" borderId="0" xfId="1" applyFont="1" applyBorder="1"/>
    <xf numFmtId="0" fontId="11" fillId="0" borderId="0" xfId="1" applyFont="1" applyBorder="1" applyAlignment="1">
      <alignment horizontal="center"/>
    </xf>
    <xf numFmtId="0" fontId="4" fillId="4" borderId="0" xfId="1" applyFont="1" applyFill="1"/>
    <xf numFmtId="0" fontId="11" fillId="4" borderId="0" xfId="1" applyFont="1" applyFill="1" applyBorder="1"/>
    <xf numFmtId="0" fontId="2" fillId="4" borderId="0" xfId="1" applyFont="1" applyFill="1"/>
    <xf numFmtId="0" fontId="11" fillId="4" borderId="0" xfId="1" applyFont="1" applyFill="1" applyBorder="1" applyAlignment="1">
      <alignment horizontal="center"/>
    </xf>
    <xf numFmtId="0" fontId="6" fillId="0" borderId="0" xfId="1" applyFont="1"/>
    <xf numFmtId="1" fontId="2" fillId="0" borderId="3" xfId="1" applyNumberFormat="1" applyFont="1" applyBorder="1" applyAlignment="1">
      <alignment horizontal="left"/>
    </xf>
    <xf numFmtId="0" fontId="13" fillId="0" borderId="0" xfId="1" applyFont="1" applyAlignment="1">
      <alignment horizontal="left"/>
    </xf>
    <xf numFmtId="1" fontId="2" fillId="0" borderId="0" xfId="1" applyNumberFormat="1" applyFont="1"/>
    <xf numFmtId="0" fontId="1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4" fillId="0" borderId="0" xfId="1" applyFont="1" applyAlignment="1">
      <alignment horizontal="left"/>
    </xf>
    <xf numFmtId="0" fontId="15" fillId="0" borderId="0" xfId="1" applyFont="1" applyFill="1"/>
    <xf numFmtId="0" fontId="19" fillId="0" borderId="0" xfId="1" applyFont="1"/>
    <xf numFmtId="2" fontId="2" fillId="0" borderId="0" xfId="1" applyNumberFormat="1" applyFont="1" applyAlignment="1">
      <alignment horizontal="center"/>
    </xf>
    <xf numFmtId="0" fontId="19" fillId="0" borderId="0" xfId="1" applyFont="1" applyBorder="1"/>
    <xf numFmtId="2" fontId="2" fillId="0" borderId="0" xfId="1" applyNumberFormat="1" applyFont="1" applyAlignment="1">
      <alignment horizontal="left"/>
    </xf>
    <xf numFmtId="0" fontId="3" fillId="0" borderId="0" xfId="1" applyFont="1" applyBorder="1" applyAlignment="1">
      <alignment horizontal="left"/>
    </xf>
    <xf numFmtId="0" fontId="2" fillId="0" borderId="3" xfId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0" fontId="2" fillId="0" borderId="3" xfId="1" applyFont="1" applyBorder="1"/>
    <xf numFmtId="2" fontId="3" fillId="4" borderId="3" xfId="1" applyNumberFormat="1" applyFont="1" applyFill="1" applyBorder="1" applyAlignment="1">
      <alignment horizontal="center"/>
    </xf>
    <xf numFmtId="2" fontId="2" fillId="0" borderId="0" xfId="1" applyNumberFormat="1" applyFont="1" applyAlignment="1">
      <alignment horizontal="right"/>
    </xf>
    <xf numFmtId="164" fontId="2" fillId="0" borderId="3" xfId="1" applyNumberFormat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2" fontId="10" fillId="0" borderId="3" xfId="1" applyNumberFormat="1" applyFont="1" applyBorder="1" applyAlignment="1">
      <alignment horizontal="center"/>
    </xf>
    <xf numFmtId="2" fontId="5" fillId="0" borderId="3" xfId="1" applyNumberFormat="1" applyFont="1" applyBorder="1" applyAlignment="1">
      <alignment horizontal="center"/>
    </xf>
    <xf numFmtId="2" fontId="10" fillId="0" borderId="0" xfId="1" applyNumberFormat="1" applyFont="1" applyAlignment="1">
      <alignment horizontal="center"/>
    </xf>
    <xf numFmtId="0" fontId="4" fillId="4" borderId="3" xfId="1" applyFont="1" applyFill="1" applyBorder="1" applyAlignment="1">
      <alignment horizontal="left"/>
    </xf>
    <xf numFmtId="0" fontId="2" fillId="0" borderId="3" xfId="1" applyNumberFormat="1" applyFont="1" applyBorder="1" applyAlignment="1">
      <alignment horizontal="center"/>
    </xf>
    <xf numFmtId="2" fontId="2" fillId="0" borderId="3" xfId="1" applyNumberFormat="1" applyFont="1" applyFill="1" applyBorder="1" applyAlignment="1">
      <alignment horizontal="center"/>
    </xf>
    <xf numFmtId="2" fontId="3" fillId="0" borderId="0" xfId="1" applyNumberFormat="1" applyFont="1" applyFill="1" applyBorder="1" applyAlignment="1">
      <alignment horizontal="center"/>
    </xf>
    <xf numFmtId="0" fontId="2" fillId="0" borderId="3" xfId="1" applyFont="1" applyBorder="1" applyAlignment="1">
      <alignment horizontal="right"/>
    </xf>
    <xf numFmtId="0" fontId="3" fillId="2" borderId="4" xfId="1" applyFont="1" applyFill="1" applyBorder="1" applyAlignment="1"/>
    <xf numFmtId="0" fontId="3" fillId="2" borderId="5" xfId="1" applyFont="1" applyFill="1" applyBorder="1" applyAlignment="1"/>
    <xf numFmtId="2" fontId="2" fillId="5" borderId="3" xfId="1" applyNumberFormat="1" applyFont="1" applyFill="1" applyBorder="1" applyAlignment="1">
      <alignment horizontal="center"/>
    </xf>
    <xf numFmtId="164" fontId="2" fillId="0" borderId="9" xfId="1" applyNumberFormat="1" applyFont="1" applyBorder="1" applyAlignment="1">
      <alignment horizontal="center"/>
    </xf>
    <xf numFmtId="0" fontId="3" fillId="2" borderId="6" xfId="1" applyFont="1" applyFill="1" applyBorder="1"/>
    <xf numFmtId="0" fontId="11" fillId="3" borderId="9" xfId="1" applyFont="1" applyFill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2" fontId="2" fillId="0" borderId="8" xfId="1" applyNumberFormat="1" applyFont="1" applyBorder="1" applyAlignment="1">
      <alignment horizontal="center"/>
    </xf>
    <xf numFmtId="0" fontId="2" fillId="0" borderId="8" xfId="1" applyNumberFormat="1" applyFont="1" applyBorder="1" applyAlignment="1">
      <alignment horizontal="center"/>
    </xf>
    <xf numFmtId="166" fontId="2" fillId="0" borderId="0" xfId="1" applyNumberFormat="1" applyFont="1" applyBorder="1" applyAlignment="1">
      <alignment horizontal="center"/>
    </xf>
    <xf numFmtId="1" fontId="2" fillId="0" borderId="0" xfId="1" applyNumberFormat="1" applyFont="1" applyBorder="1" applyAlignment="1">
      <alignment horizontal="left"/>
    </xf>
    <xf numFmtId="0" fontId="3" fillId="2" borderId="2" xfId="1" applyFont="1" applyFill="1" applyBorder="1" applyAlignment="1"/>
    <xf numFmtId="0" fontId="21" fillId="2" borderId="1" xfId="1" applyFont="1" applyFill="1" applyBorder="1" applyAlignment="1"/>
    <xf numFmtId="2" fontId="2" fillId="4" borderId="3" xfId="1" applyNumberFormat="1" applyFont="1" applyFill="1" applyBorder="1" applyAlignment="1">
      <alignment horizontal="center"/>
    </xf>
    <xf numFmtId="0" fontId="2" fillId="0" borderId="7" xfId="1" applyFont="1" applyBorder="1"/>
    <xf numFmtId="166" fontId="2" fillId="0" borderId="11" xfId="1" applyNumberFormat="1" applyFont="1" applyBorder="1" applyAlignment="1">
      <alignment horizontal="left"/>
    </xf>
    <xf numFmtId="166" fontId="2" fillId="0" borderId="13" xfId="1" applyNumberFormat="1" applyFont="1" applyBorder="1" applyAlignment="1">
      <alignment horizontal="left"/>
    </xf>
    <xf numFmtId="166" fontId="2" fillId="0" borderId="12" xfId="1" applyNumberFormat="1" applyFont="1" applyBorder="1" applyAlignment="1">
      <alignment horizontal="left"/>
    </xf>
    <xf numFmtId="0" fontId="3" fillId="2" borderId="3" xfId="1" applyFont="1" applyFill="1" applyBorder="1" applyAlignment="1">
      <alignment horizontal="left"/>
    </xf>
    <xf numFmtId="0" fontId="13" fillId="0" borderId="0" xfId="1" applyFont="1" applyAlignment="1">
      <alignment horizontal="center" vertical="center"/>
    </xf>
    <xf numFmtId="0" fontId="13" fillId="0" borderId="0" xfId="1" applyFont="1" applyAlignment="1">
      <alignment horizontal="center" vertical="top"/>
    </xf>
    <xf numFmtId="0" fontId="2" fillId="5" borderId="3" xfId="1" applyFont="1" applyFill="1" applyBorder="1" applyAlignment="1">
      <alignment horizontal="center"/>
    </xf>
    <xf numFmtId="0" fontId="16" fillId="0" borderId="0" xfId="1" applyFont="1" applyFill="1" applyAlignment="1">
      <alignment horizontal="center"/>
    </xf>
    <xf numFmtId="2" fontId="10" fillId="0" borderId="4" xfId="1" applyNumberFormat="1" applyFont="1" applyBorder="1" applyAlignment="1">
      <alignment horizontal="center"/>
    </xf>
    <xf numFmtId="2" fontId="10" fillId="0" borderId="5" xfId="1" applyNumberFormat="1" applyFont="1" applyBorder="1" applyAlignment="1">
      <alignment horizontal="center"/>
    </xf>
    <xf numFmtId="2" fontId="2" fillId="0" borderId="0" xfId="1" applyNumberFormat="1" applyFont="1" applyBorder="1" applyAlignment="1">
      <alignment horizontal="center"/>
    </xf>
    <xf numFmtId="0" fontId="12" fillId="0" borderId="0" xfId="1" applyFont="1" applyBorder="1" applyAlignment="1">
      <alignment horizontal="justify" vertical="center" wrapText="1" shrinkToFit="1"/>
    </xf>
    <xf numFmtId="0" fontId="6" fillId="0" borderId="0" xfId="1" applyFont="1" applyAlignment="1">
      <alignment horizontal="justify" vertical="center" wrapText="1"/>
    </xf>
    <xf numFmtId="2" fontId="2" fillId="0" borderId="0" xfId="1" applyNumberFormat="1" applyFont="1" applyAlignment="1">
      <alignment horizontal="center" vertical="center"/>
    </xf>
    <xf numFmtId="0" fontId="16" fillId="0" borderId="0" xfId="1" applyFont="1" applyFill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2" fillId="0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center"/>
    </xf>
    <xf numFmtId="0" fontId="23" fillId="0" borderId="0" xfId="1" applyFont="1" applyFill="1" applyAlignment="1">
      <alignment horizontal="center"/>
    </xf>
    <xf numFmtId="0" fontId="24" fillId="0" borderId="0" xfId="1" applyFont="1" applyFill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4990</xdr:colOff>
      <xdr:row>8</xdr:row>
      <xdr:rowOff>978</xdr:rowOff>
    </xdr:from>
    <xdr:to>
      <xdr:col>3</xdr:col>
      <xdr:colOff>5292</xdr:colOff>
      <xdr:row>20</xdr:row>
      <xdr:rowOff>2647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738011" y="1093707"/>
          <a:ext cx="302" cy="202044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224896</xdr:colOff>
      <xdr:row>20</xdr:row>
      <xdr:rowOff>0</xdr:rowOff>
    </xdr:from>
    <xdr:to>
      <xdr:col>3</xdr:col>
      <xdr:colOff>5291</xdr:colOff>
      <xdr:row>20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1023938" y="3111500"/>
          <a:ext cx="714374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228071</xdr:colOff>
      <xdr:row>20</xdr:row>
      <xdr:rowOff>7937</xdr:rowOff>
    </xdr:from>
    <xdr:to>
      <xdr:col>2</xdr:col>
      <xdr:colOff>228071</xdr:colOff>
      <xdr:row>21</xdr:row>
      <xdr:rowOff>160337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027113" y="3119437"/>
          <a:ext cx="0" cy="31379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287868</xdr:colOff>
      <xdr:row>20</xdr:row>
      <xdr:rowOff>4234</xdr:rowOff>
    </xdr:from>
    <xdr:to>
      <xdr:col>4</xdr:col>
      <xdr:colOff>759354</xdr:colOff>
      <xdr:row>20</xdr:row>
      <xdr:rowOff>5292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2020889" y="3115734"/>
          <a:ext cx="966257" cy="1058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317501</xdr:colOff>
      <xdr:row>7</xdr:row>
      <xdr:rowOff>158751</xdr:rowOff>
    </xdr:from>
    <xdr:to>
      <xdr:col>5</xdr:col>
      <xdr:colOff>740834</xdr:colOff>
      <xdr:row>8</xdr:row>
      <xdr:rowOff>1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V="1">
          <a:off x="2050522" y="1090084"/>
          <a:ext cx="1680104" cy="264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316442</xdr:colOff>
      <xdr:row>7</xdr:row>
      <xdr:rowOff>7408</xdr:rowOff>
    </xdr:from>
    <xdr:to>
      <xdr:col>6</xdr:col>
      <xdr:colOff>2646</xdr:colOff>
      <xdr:row>7</xdr:row>
      <xdr:rowOff>7408</xdr:rowOff>
    </xdr:to>
    <xdr:sp macro="" textlink="">
      <xdr:nvSpPr>
        <xdr:cNvPr id="9" name="Line 8"/>
        <xdr:cNvSpPr>
          <a:spLocks noChangeShapeType="1"/>
        </xdr:cNvSpPr>
      </xdr:nvSpPr>
      <xdr:spPr bwMode="auto">
        <a:xfrm>
          <a:off x="2049992" y="883708"/>
          <a:ext cx="1724554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223838</xdr:colOff>
      <xdr:row>18</xdr:row>
      <xdr:rowOff>5291</xdr:rowOff>
    </xdr:from>
    <xdr:to>
      <xdr:col>3</xdr:col>
      <xdr:colOff>5292</xdr:colOff>
      <xdr:row>18</xdr:row>
      <xdr:rowOff>9525</xdr:rowOff>
    </xdr:to>
    <xdr:sp macro="" textlink="">
      <xdr:nvSpPr>
        <xdr:cNvPr id="12" name="Line 17"/>
        <xdr:cNvSpPr>
          <a:spLocks noChangeShapeType="1"/>
        </xdr:cNvSpPr>
      </xdr:nvSpPr>
      <xdr:spPr bwMode="auto">
        <a:xfrm flipV="1">
          <a:off x="1023938" y="2700866"/>
          <a:ext cx="714904" cy="423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73268</xdr:colOff>
      <xdr:row>20</xdr:row>
      <xdr:rowOff>9525</xdr:rowOff>
    </xdr:from>
    <xdr:to>
      <xdr:col>5</xdr:col>
      <xdr:colOff>73268</xdr:colOff>
      <xdr:row>21</xdr:row>
      <xdr:rowOff>152400</xdr:rowOff>
    </xdr:to>
    <xdr:sp macro="" textlink="">
      <xdr:nvSpPr>
        <xdr:cNvPr id="13" name="Line 19"/>
        <xdr:cNvSpPr>
          <a:spLocks noChangeShapeType="1"/>
        </xdr:cNvSpPr>
      </xdr:nvSpPr>
      <xdr:spPr bwMode="auto">
        <a:xfrm>
          <a:off x="3069980" y="3101487"/>
          <a:ext cx="0" cy="304067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5</xdr:col>
      <xdr:colOff>739587</xdr:colOff>
      <xdr:row>8</xdr:row>
      <xdr:rowOff>5602</xdr:rowOff>
    </xdr:from>
    <xdr:to>
      <xdr:col>6</xdr:col>
      <xdr:colOff>5603</xdr:colOff>
      <xdr:row>22</xdr:row>
      <xdr:rowOff>16808</xdr:rowOff>
    </xdr:to>
    <xdr:sp macro="" textlink="">
      <xdr:nvSpPr>
        <xdr:cNvPr id="14" name="Line 20"/>
        <xdr:cNvSpPr>
          <a:spLocks noChangeShapeType="1"/>
        </xdr:cNvSpPr>
      </xdr:nvSpPr>
      <xdr:spPr bwMode="auto">
        <a:xfrm>
          <a:off x="3765175" y="1047749"/>
          <a:ext cx="11207" cy="2325221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229657</xdr:colOff>
      <xdr:row>22</xdr:row>
      <xdr:rowOff>162277</xdr:rowOff>
    </xdr:from>
    <xdr:to>
      <xdr:col>2</xdr:col>
      <xdr:colOff>931332</xdr:colOff>
      <xdr:row>23</xdr:row>
      <xdr:rowOff>3528</xdr:rowOff>
    </xdr:to>
    <xdr:sp macro="" textlink="">
      <xdr:nvSpPr>
        <xdr:cNvPr id="15" name="Line 21"/>
        <xdr:cNvSpPr>
          <a:spLocks noChangeShapeType="1"/>
        </xdr:cNvSpPr>
      </xdr:nvSpPr>
      <xdr:spPr bwMode="auto">
        <a:xfrm>
          <a:off x="1026935" y="3612444"/>
          <a:ext cx="701675" cy="3528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321028</xdr:colOff>
      <xdr:row>23</xdr:row>
      <xdr:rowOff>1</xdr:rowOff>
    </xdr:from>
    <xdr:to>
      <xdr:col>5</xdr:col>
      <xdr:colOff>7055</xdr:colOff>
      <xdr:row>23</xdr:row>
      <xdr:rowOff>7057</xdr:rowOff>
    </xdr:to>
    <xdr:sp macro="" textlink="">
      <xdr:nvSpPr>
        <xdr:cNvPr id="16" name="Line 22"/>
        <xdr:cNvSpPr>
          <a:spLocks noChangeShapeType="1"/>
        </xdr:cNvSpPr>
      </xdr:nvSpPr>
      <xdr:spPr bwMode="auto">
        <a:xfrm flipV="1">
          <a:off x="2053167" y="3612445"/>
          <a:ext cx="941916" cy="7056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64912</xdr:colOff>
      <xdr:row>14</xdr:row>
      <xdr:rowOff>4368</xdr:rowOff>
    </xdr:from>
    <xdr:to>
      <xdr:col>6</xdr:col>
      <xdr:colOff>528706</xdr:colOff>
      <xdr:row>16</xdr:row>
      <xdr:rowOff>14979</xdr:rowOff>
    </xdr:to>
    <xdr:sp macro="" textlink="">
      <xdr:nvSpPr>
        <xdr:cNvPr id="17" name="Rectangle 23"/>
        <xdr:cNvSpPr>
          <a:spLocks noChangeArrowheads="1"/>
        </xdr:cNvSpPr>
      </xdr:nvSpPr>
      <xdr:spPr bwMode="auto">
        <a:xfrm>
          <a:off x="3797301" y="2113979"/>
          <a:ext cx="463794" cy="345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  Altura</a:t>
          </a:r>
        </a:p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      H</a:t>
          </a:r>
        </a:p>
      </xdr:txBody>
    </xdr:sp>
    <xdr:clientData/>
  </xdr:twoCellAnchor>
  <xdr:twoCellAnchor>
    <xdr:from>
      <xdr:col>5</xdr:col>
      <xdr:colOff>174381</xdr:colOff>
      <xdr:row>20</xdr:row>
      <xdr:rowOff>7326</xdr:rowOff>
    </xdr:from>
    <xdr:to>
      <xdr:col>5</xdr:col>
      <xdr:colOff>723900</xdr:colOff>
      <xdr:row>21</xdr:row>
      <xdr:rowOff>160459</xdr:rowOff>
    </xdr:to>
    <xdr:sp macro="" textlink="">
      <xdr:nvSpPr>
        <xdr:cNvPr id="18" name="Rectangle 24"/>
        <xdr:cNvSpPr>
          <a:spLocks noChangeArrowheads="1"/>
        </xdr:cNvSpPr>
      </xdr:nvSpPr>
      <xdr:spPr bwMode="auto">
        <a:xfrm>
          <a:off x="3171093" y="3099288"/>
          <a:ext cx="549519" cy="3143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Espesor zapata</a:t>
          </a:r>
        </a:p>
        <a:p>
          <a:pPr marL="0" indent="0"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 Narrow" panose="020B0606020202030204" pitchFamily="34" charset="0"/>
            <a:ea typeface="+mn-ea"/>
            <a:cs typeface="Arial"/>
          </a:endParaRPr>
        </a:p>
      </xdr:txBody>
    </xdr:sp>
    <xdr:clientData/>
  </xdr:twoCellAnchor>
  <xdr:twoCellAnchor>
    <xdr:from>
      <xdr:col>2</xdr:col>
      <xdr:colOff>220838</xdr:colOff>
      <xdr:row>23</xdr:row>
      <xdr:rowOff>161218</xdr:rowOff>
    </xdr:from>
    <xdr:to>
      <xdr:col>4</xdr:col>
      <xdr:colOff>761999</xdr:colOff>
      <xdr:row>23</xdr:row>
      <xdr:rowOff>162277</xdr:rowOff>
    </xdr:to>
    <xdr:sp macro="" textlink="">
      <xdr:nvSpPr>
        <xdr:cNvPr id="19" name="Line 25"/>
        <xdr:cNvSpPr>
          <a:spLocks noChangeShapeType="1"/>
        </xdr:cNvSpPr>
      </xdr:nvSpPr>
      <xdr:spPr bwMode="auto">
        <a:xfrm>
          <a:off x="1018116" y="3773662"/>
          <a:ext cx="1969911" cy="1059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29634</xdr:colOff>
      <xdr:row>24</xdr:row>
      <xdr:rowOff>31397</xdr:rowOff>
    </xdr:from>
    <xdr:to>
      <xdr:col>3</xdr:col>
      <xdr:colOff>475898</xdr:colOff>
      <xdr:row>25</xdr:row>
      <xdr:rowOff>24694</xdr:rowOff>
    </xdr:to>
    <xdr:sp macro="" textlink="">
      <xdr:nvSpPr>
        <xdr:cNvPr id="20" name="Rectangle 26"/>
        <xdr:cNvSpPr>
          <a:spLocks noChangeArrowheads="1"/>
        </xdr:cNvSpPr>
      </xdr:nvSpPr>
      <xdr:spPr bwMode="auto">
        <a:xfrm>
          <a:off x="1761773" y="3806119"/>
          <a:ext cx="446264" cy="155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Base L</a:t>
          </a:r>
        </a:p>
        <a:p>
          <a:pPr marL="0" indent="0"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 Narrow" panose="020B0606020202030204" pitchFamily="34" charset="0"/>
            <a:ea typeface="+mn-ea"/>
            <a:cs typeface="Arial"/>
          </a:endParaRPr>
        </a:p>
      </xdr:txBody>
    </xdr:sp>
    <xdr:clientData/>
  </xdr:twoCellAnchor>
  <xdr:twoCellAnchor>
    <xdr:from>
      <xdr:col>2</xdr:col>
      <xdr:colOff>438368</xdr:colOff>
      <xdr:row>22</xdr:row>
      <xdr:rowOff>7054</xdr:rowOff>
    </xdr:from>
    <xdr:to>
      <xdr:col>2</xdr:col>
      <xdr:colOff>712612</xdr:colOff>
      <xdr:row>22</xdr:row>
      <xdr:rowOff>143823</xdr:rowOff>
    </xdr:to>
    <xdr:sp macro="" textlink="">
      <xdr:nvSpPr>
        <xdr:cNvPr id="21" name="Rectangle 27"/>
        <xdr:cNvSpPr>
          <a:spLocks noChangeArrowheads="1"/>
        </xdr:cNvSpPr>
      </xdr:nvSpPr>
      <xdr:spPr bwMode="auto">
        <a:xfrm>
          <a:off x="1235646" y="3457221"/>
          <a:ext cx="274244" cy="13676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Pie</a:t>
          </a:r>
        </a:p>
      </xdr:txBody>
    </xdr:sp>
    <xdr:clientData/>
  </xdr:twoCellAnchor>
  <xdr:twoCellAnchor>
    <xdr:from>
      <xdr:col>4</xdr:col>
      <xdr:colOff>160188</xdr:colOff>
      <xdr:row>22</xdr:row>
      <xdr:rowOff>14111</xdr:rowOff>
    </xdr:from>
    <xdr:to>
      <xdr:col>4</xdr:col>
      <xdr:colOff>579288</xdr:colOff>
      <xdr:row>22</xdr:row>
      <xdr:rowOff>141653</xdr:rowOff>
    </xdr:to>
    <xdr:sp macro="" textlink="">
      <xdr:nvSpPr>
        <xdr:cNvPr id="22" name="Rectangle 28"/>
        <xdr:cNvSpPr>
          <a:spLocks noChangeArrowheads="1"/>
        </xdr:cNvSpPr>
      </xdr:nvSpPr>
      <xdr:spPr bwMode="auto">
        <a:xfrm>
          <a:off x="2386216" y="3464278"/>
          <a:ext cx="419100" cy="127542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Talon</a:t>
          </a:r>
        </a:p>
      </xdr:txBody>
    </xdr:sp>
    <xdr:clientData/>
  </xdr:twoCellAnchor>
  <xdr:twoCellAnchor>
    <xdr:from>
      <xdr:col>3</xdr:col>
      <xdr:colOff>57502</xdr:colOff>
      <xdr:row>5</xdr:row>
      <xdr:rowOff>116417</xdr:rowOff>
    </xdr:from>
    <xdr:to>
      <xdr:col>3</xdr:col>
      <xdr:colOff>238477</xdr:colOff>
      <xdr:row>6</xdr:row>
      <xdr:rowOff>85725</xdr:rowOff>
    </xdr:to>
    <xdr:sp macro="" textlink="">
      <xdr:nvSpPr>
        <xdr:cNvPr id="23" name="Rectangle 29"/>
        <xdr:cNvSpPr>
          <a:spLocks noChangeArrowheads="1"/>
        </xdr:cNvSpPr>
      </xdr:nvSpPr>
      <xdr:spPr bwMode="auto">
        <a:xfrm>
          <a:off x="1789641" y="716139"/>
          <a:ext cx="180975" cy="142169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cs typeface="Arial"/>
            </a:rPr>
            <a:t>c</a:t>
          </a:r>
        </a:p>
      </xdr:txBody>
    </xdr:sp>
    <xdr:clientData/>
  </xdr:twoCellAnchor>
  <xdr:twoCellAnchor>
    <xdr:from>
      <xdr:col>3</xdr:col>
      <xdr:colOff>52496</xdr:colOff>
      <xdr:row>18</xdr:row>
      <xdr:rowOff>144476</xdr:rowOff>
    </xdr:from>
    <xdr:to>
      <xdr:col>3</xdr:col>
      <xdr:colOff>215195</xdr:colOff>
      <xdr:row>19</xdr:row>
      <xdr:rowOff>115901</xdr:rowOff>
    </xdr:to>
    <xdr:sp macro="" textlink="">
      <xdr:nvSpPr>
        <xdr:cNvPr id="24" name="Rectangle 30"/>
        <xdr:cNvSpPr>
          <a:spLocks noChangeArrowheads="1"/>
        </xdr:cNvSpPr>
      </xdr:nvSpPr>
      <xdr:spPr bwMode="auto">
        <a:xfrm>
          <a:off x="1784635" y="2924365"/>
          <a:ext cx="162699" cy="14428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  b</a:t>
          </a:r>
        </a:p>
      </xdr:txBody>
    </xdr:sp>
    <xdr:clientData/>
  </xdr:twoCellAnchor>
  <xdr:twoCellAnchor>
    <xdr:from>
      <xdr:col>2</xdr:col>
      <xdr:colOff>342900</xdr:colOff>
      <xdr:row>18</xdr:row>
      <xdr:rowOff>95250</xdr:rowOff>
    </xdr:from>
    <xdr:to>
      <xdr:col>2</xdr:col>
      <xdr:colOff>542925</xdr:colOff>
      <xdr:row>19</xdr:row>
      <xdr:rowOff>66675</xdr:rowOff>
    </xdr:to>
    <xdr:sp macro="" textlink="">
      <xdr:nvSpPr>
        <xdr:cNvPr id="25" name="Rectangle 31"/>
        <xdr:cNvSpPr>
          <a:spLocks noChangeArrowheads="1"/>
        </xdr:cNvSpPr>
      </xdr:nvSpPr>
      <xdr:spPr bwMode="auto">
        <a:xfrm>
          <a:off x="342900" y="2743200"/>
          <a:ext cx="200025" cy="133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h</a:t>
          </a:r>
        </a:p>
      </xdr:txBody>
    </xdr:sp>
    <xdr:clientData/>
  </xdr:twoCellAnchor>
  <xdr:twoCellAnchor>
    <xdr:from>
      <xdr:col>0</xdr:col>
      <xdr:colOff>66676</xdr:colOff>
      <xdr:row>18</xdr:row>
      <xdr:rowOff>38833</xdr:rowOff>
    </xdr:from>
    <xdr:to>
      <xdr:col>2</xdr:col>
      <xdr:colOff>21981</xdr:colOff>
      <xdr:row>21</xdr:row>
      <xdr:rowOff>68140</xdr:rowOff>
    </xdr:to>
    <xdr:sp macro="" textlink="">
      <xdr:nvSpPr>
        <xdr:cNvPr id="26" name="Rectangle 32"/>
        <xdr:cNvSpPr>
          <a:spLocks noChangeArrowheads="1"/>
        </xdr:cNvSpPr>
      </xdr:nvSpPr>
      <xdr:spPr bwMode="auto">
        <a:xfrm>
          <a:off x="66676" y="2793756"/>
          <a:ext cx="761267" cy="52753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Altura suelo pasivo pasivo pasivo</a:t>
          </a:r>
        </a:p>
        <a:p>
          <a:pPr marL="0" indent="0"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 Narrow" panose="020B0606020202030204" pitchFamily="34" charset="0"/>
            <a:ea typeface="+mn-ea"/>
            <a:cs typeface="Arial"/>
          </a:endParaRPr>
        </a:p>
      </xdr:txBody>
    </xdr:sp>
    <xdr:clientData/>
  </xdr:twoCellAnchor>
  <xdr:twoCellAnchor>
    <xdr:from>
      <xdr:col>4</xdr:col>
      <xdr:colOff>266700</xdr:colOff>
      <xdr:row>5</xdr:row>
      <xdr:rowOff>104775</xdr:rowOff>
    </xdr:from>
    <xdr:to>
      <xdr:col>5</xdr:col>
      <xdr:colOff>352425</xdr:colOff>
      <xdr:row>6</xdr:row>
      <xdr:rowOff>133350</xdr:rowOff>
    </xdr:to>
    <xdr:sp macro="" textlink="">
      <xdr:nvSpPr>
        <xdr:cNvPr id="27" name="Rectangle 33"/>
        <xdr:cNvSpPr>
          <a:spLocks noChangeArrowheads="1"/>
        </xdr:cNvSpPr>
      </xdr:nvSpPr>
      <xdr:spPr bwMode="auto">
        <a:xfrm>
          <a:off x="1695450" y="533400"/>
          <a:ext cx="847725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ctr" upright="1"/>
        <a:lstStyle/>
        <a:p>
          <a:pPr marL="0" indent="0"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sobrecarga w</a:t>
          </a:r>
        </a:p>
      </xdr:txBody>
    </xdr:sp>
    <xdr:clientData/>
  </xdr:twoCellAnchor>
  <xdr:twoCellAnchor>
    <xdr:from>
      <xdr:col>3</xdr:col>
      <xdr:colOff>317500</xdr:colOff>
      <xdr:row>7</xdr:row>
      <xdr:rowOff>6879</xdr:rowOff>
    </xdr:from>
    <xdr:to>
      <xdr:col>3</xdr:col>
      <xdr:colOff>318029</xdr:colOff>
      <xdr:row>8</xdr:row>
      <xdr:rowOff>2646</xdr:rowOff>
    </xdr:to>
    <xdr:sp macro="" textlink="">
      <xdr:nvSpPr>
        <xdr:cNvPr id="28" name="Line 34"/>
        <xdr:cNvSpPr>
          <a:spLocks noChangeShapeType="1"/>
        </xdr:cNvSpPr>
      </xdr:nvSpPr>
      <xdr:spPr bwMode="auto">
        <a:xfrm flipH="1">
          <a:off x="2050521" y="938212"/>
          <a:ext cx="529" cy="15716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51004</xdr:colOff>
      <xdr:row>7</xdr:row>
      <xdr:rowOff>16566</xdr:rowOff>
    </xdr:from>
    <xdr:to>
      <xdr:col>4</xdr:col>
      <xdr:colOff>52540</xdr:colOff>
      <xdr:row>8</xdr:row>
      <xdr:rowOff>2645</xdr:rowOff>
    </xdr:to>
    <xdr:sp macro="" textlink="">
      <xdr:nvSpPr>
        <xdr:cNvPr id="29" name="Line 35"/>
        <xdr:cNvSpPr>
          <a:spLocks noChangeShapeType="1"/>
        </xdr:cNvSpPr>
      </xdr:nvSpPr>
      <xdr:spPr bwMode="auto">
        <a:xfrm>
          <a:off x="2278796" y="947899"/>
          <a:ext cx="1536" cy="14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481013</xdr:colOff>
      <xdr:row>7</xdr:row>
      <xdr:rowOff>15875</xdr:rowOff>
    </xdr:from>
    <xdr:to>
      <xdr:col>4</xdr:col>
      <xdr:colOff>482148</xdr:colOff>
      <xdr:row>7</xdr:row>
      <xdr:rowOff>157238</xdr:rowOff>
    </xdr:to>
    <xdr:sp macro="" textlink="">
      <xdr:nvSpPr>
        <xdr:cNvPr id="30" name="Line 36"/>
        <xdr:cNvSpPr>
          <a:spLocks noChangeShapeType="1"/>
        </xdr:cNvSpPr>
      </xdr:nvSpPr>
      <xdr:spPr bwMode="auto">
        <a:xfrm>
          <a:off x="2747963" y="892175"/>
          <a:ext cx="1135" cy="14136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492124</xdr:colOff>
      <xdr:row>7</xdr:row>
      <xdr:rowOff>5292</xdr:rowOff>
    </xdr:from>
    <xdr:to>
      <xdr:col>5</xdr:col>
      <xdr:colOff>492124</xdr:colOff>
      <xdr:row>7</xdr:row>
      <xdr:rowOff>158750</xdr:rowOff>
    </xdr:to>
    <xdr:sp macro="" textlink="">
      <xdr:nvSpPr>
        <xdr:cNvPr id="32" name="Line 38"/>
        <xdr:cNvSpPr>
          <a:spLocks noChangeShapeType="1"/>
        </xdr:cNvSpPr>
      </xdr:nvSpPr>
      <xdr:spPr bwMode="auto">
        <a:xfrm flipH="1">
          <a:off x="3481916" y="936625"/>
          <a:ext cx="0" cy="15345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628650</xdr:colOff>
      <xdr:row>18</xdr:row>
      <xdr:rowOff>9525</xdr:rowOff>
    </xdr:from>
    <xdr:to>
      <xdr:col>2</xdr:col>
      <xdr:colOff>628650</xdr:colOff>
      <xdr:row>19</xdr:row>
      <xdr:rowOff>142875</xdr:rowOff>
    </xdr:to>
    <xdr:sp macro="" textlink="">
      <xdr:nvSpPr>
        <xdr:cNvPr id="33" name="Line 47"/>
        <xdr:cNvSpPr>
          <a:spLocks noChangeShapeType="1"/>
        </xdr:cNvSpPr>
      </xdr:nvSpPr>
      <xdr:spPr bwMode="auto">
        <a:xfrm>
          <a:off x="628650" y="2657475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114300</xdr:colOff>
      <xdr:row>18</xdr:row>
      <xdr:rowOff>0</xdr:rowOff>
    </xdr:from>
    <xdr:to>
      <xdr:col>2</xdr:col>
      <xdr:colOff>114300</xdr:colOff>
      <xdr:row>22</xdr:row>
      <xdr:rowOff>0</xdr:rowOff>
    </xdr:to>
    <xdr:sp macro="" textlink="">
      <xdr:nvSpPr>
        <xdr:cNvPr id="34" name="Line 48"/>
        <xdr:cNvSpPr>
          <a:spLocks noChangeShapeType="1"/>
        </xdr:cNvSpPr>
      </xdr:nvSpPr>
      <xdr:spPr bwMode="auto">
        <a:xfrm flipV="1">
          <a:off x="114300" y="2647950"/>
          <a:ext cx="0" cy="6572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114300</xdr:colOff>
      <xdr:row>19</xdr:row>
      <xdr:rowOff>66675</xdr:rowOff>
    </xdr:from>
    <xdr:to>
      <xdr:col>2</xdr:col>
      <xdr:colOff>247650</xdr:colOff>
      <xdr:row>19</xdr:row>
      <xdr:rowOff>66675</xdr:rowOff>
    </xdr:to>
    <xdr:sp macro="" textlink="">
      <xdr:nvSpPr>
        <xdr:cNvPr id="35" name="Line 49"/>
        <xdr:cNvSpPr>
          <a:spLocks noChangeShapeType="1"/>
        </xdr:cNvSpPr>
      </xdr:nvSpPr>
      <xdr:spPr bwMode="auto">
        <a:xfrm>
          <a:off x="114300" y="2876550"/>
          <a:ext cx="133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257175</xdr:colOff>
      <xdr:row>15</xdr:row>
      <xdr:rowOff>19050</xdr:rowOff>
    </xdr:from>
    <xdr:to>
      <xdr:col>2</xdr:col>
      <xdr:colOff>257175</xdr:colOff>
      <xdr:row>19</xdr:row>
      <xdr:rowOff>57150</xdr:rowOff>
    </xdr:to>
    <xdr:sp macro="" textlink="">
      <xdr:nvSpPr>
        <xdr:cNvPr id="36" name="Line 50"/>
        <xdr:cNvSpPr>
          <a:spLocks noChangeShapeType="1"/>
        </xdr:cNvSpPr>
      </xdr:nvSpPr>
      <xdr:spPr bwMode="auto">
        <a:xfrm flipV="1">
          <a:off x="257175" y="2085975"/>
          <a:ext cx="0" cy="781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9525</xdr:colOff>
      <xdr:row>29</xdr:row>
      <xdr:rowOff>152400</xdr:rowOff>
    </xdr:from>
    <xdr:to>
      <xdr:col>3</xdr:col>
      <xdr:colOff>9525</xdr:colOff>
      <xdr:row>42</xdr:row>
      <xdr:rowOff>0</xdr:rowOff>
    </xdr:to>
    <xdr:sp macro="" textlink="">
      <xdr:nvSpPr>
        <xdr:cNvPr id="37" name="Line 51"/>
        <xdr:cNvSpPr>
          <a:spLocks noChangeShapeType="1"/>
        </xdr:cNvSpPr>
      </xdr:nvSpPr>
      <xdr:spPr bwMode="auto">
        <a:xfrm>
          <a:off x="942975" y="4791075"/>
          <a:ext cx="0" cy="20574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218621</xdr:colOff>
      <xdr:row>41</xdr:row>
      <xdr:rowOff>166007</xdr:rowOff>
    </xdr:from>
    <xdr:to>
      <xdr:col>3</xdr:col>
      <xdr:colOff>9071</xdr:colOff>
      <xdr:row>41</xdr:row>
      <xdr:rowOff>166007</xdr:rowOff>
    </xdr:to>
    <xdr:sp macro="" textlink="">
      <xdr:nvSpPr>
        <xdr:cNvPr id="38" name="Line 52"/>
        <xdr:cNvSpPr>
          <a:spLocks noChangeShapeType="1"/>
        </xdr:cNvSpPr>
      </xdr:nvSpPr>
      <xdr:spPr bwMode="auto">
        <a:xfrm flipH="1">
          <a:off x="1016907" y="6924221"/>
          <a:ext cx="724807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218621</xdr:colOff>
      <xdr:row>41</xdr:row>
      <xdr:rowOff>163284</xdr:rowOff>
    </xdr:from>
    <xdr:to>
      <xdr:col>2</xdr:col>
      <xdr:colOff>218621</xdr:colOff>
      <xdr:row>43</xdr:row>
      <xdr:rowOff>163284</xdr:rowOff>
    </xdr:to>
    <xdr:sp macro="" textlink="">
      <xdr:nvSpPr>
        <xdr:cNvPr id="39" name="Line 53"/>
        <xdr:cNvSpPr>
          <a:spLocks noChangeShapeType="1"/>
        </xdr:cNvSpPr>
      </xdr:nvSpPr>
      <xdr:spPr bwMode="auto">
        <a:xfrm>
          <a:off x="1016907" y="6921498"/>
          <a:ext cx="0" cy="34471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209550</xdr:colOff>
      <xdr:row>40</xdr:row>
      <xdr:rowOff>0</xdr:rowOff>
    </xdr:from>
    <xdr:to>
      <xdr:col>3</xdr:col>
      <xdr:colOff>9525</xdr:colOff>
      <xdr:row>40</xdr:row>
      <xdr:rowOff>9525</xdr:rowOff>
    </xdr:to>
    <xdr:sp macro="" textlink="">
      <xdr:nvSpPr>
        <xdr:cNvPr id="47" name="Line 63"/>
        <xdr:cNvSpPr>
          <a:spLocks noChangeShapeType="1"/>
        </xdr:cNvSpPr>
      </xdr:nvSpPr>
      <xdr:spPr bwMode="auto">
        <a:xfrm>
          <a:off x="209550" y="6467475"/>
          <a:ext cx="733425" cy="9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108857</xdr:colOff>
      <xdr:row>42</xdr:row>
      <xdr:rowOff>23133</xdr:rowOff>
    </xdr:from>
    <xdr:to>
      <xdr:col>5</xdr:col>
      <xdr:colOff>108857</xdr:colOff>
      <xdr:row>43</xdr:row>
      <xdr:rowOff>138793</xdr:rowOff>
    </xdr:to>
    <xdr:sp macro="" textlink="">
      <xdr:nvSpPr>
        <xdr:cNvPr id="48" name="Line 65"/>
        <xdr:cNvSpPr>
          <a:spLocks noChangeShapeType="1"/>
        </xdr:cNvSpPr>
      </xdr:nvSpPr>
      <xdr:spPr bwMode="auto">
        <a:xfrm>
          <a:off x="3097893" y="6953704"/>
          <a:ext cx="0" cy="315232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5</xdr:col>
      <xdr:colOff>739588</xdr:colOff>
      <xdr:row>30</xdr:row>
      <xdr:rowOff>144</xdr:rowOff>
    </xdr:from>
    <xdr:to>
      <xdr:col>6</xdr:col>
      <xdr:colOff>707</xdr:colOff>
      <xdr:row>43</xdr:row>
      <xdr:rowOff>145677</xdr:rowOff>
    </xdr:to>
    <xdr:sp macro="" textlink="">
      <xdr:nvSpPr>
        <xdr:cNvPr id="49" name="Line 66"/>
        <xdr:cNvSpPr>
          <a:spLocks noChangeShapeType="1"/>
        </xdr:cNvSpPr>
      </xdr:nvSpPr>
      <xdr:spPr bwMode="auto">
        <a:xfrm flipH="1">
          <a:off x="3765176" y="4656188"/>
          <a:ext cx="6310" cy="2319474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907</xdr:colOff>
      <xdr:row>45</xdr:row>
      <xdr:rowOff>5216</xdr:rowOff>
    </xdr:from>
    <xdr:to>
      <xdr:col>5</xdr:col>
      <xdr:colOff>9525</xdr:colOff>
      <xdr:row>45</xdr:row>
      <xdr:rowOff>5216</xdr:rowOff>
    </xdr:to>
    <xdr:sp macro="" textlink="">
      <xdr:nvSpPr>
        <xdr:cNvPr id="50" name="Line 67"/>
        <xdr:cNvSpPr>
          <a:spLocks noChangeShapeType="1"/>
        </xdr:cNvSpPr>
      </xdr:nvSpPr>
      <xdr:spPr bwMode="auto">
        <a:xfrm>
          <a:off x="2229757" y="7129916"/>
          <a:ext cx="770618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216807</xdr:colOff>
      <xdr:row>46</xdr:row>
      <xdr:rowOff>454</xdr:rowOff>
    </xdr:from>
    <xdr:to>
      <xdr:col>4</xdr:col>
      <xdr:colOff>712107</xdr:colOff>
      <xdr:row>46</xdr:row>
      <xdr:rowOff>454</xdr:rowOff>
    </xdr:to>
    <xdr:sp macro="" textlink="">
      <xdr:nvSpPr>
        <xdr:cNvPr id="51" name="Line 68"/>
        <xdr:cNvSpPr>
          <a:spLocks noChangeShapeType="1"/>
        </xdr:cNvSpPr>
      </xdr:nvSpPr>
      <xdr:spPr bwMode="auto">
        <a:xfrm>
          <a:off x="1015093" y="7620454"/>
          <a:ext cx="1924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628650</xdr:colOff>
      <xdr:row>40</xdr:row>
      <xdr:rowOff>9525</xdr:rowOff>
    </xdr:from>
    <xdr:to>
      <xdr:col>2</xdr:col>
      <xdr:colOff>628650</xdr:colOff>
      <xdr:row>41</xdr:row>
      <xdr:rowOff>142875</xdr:rowOff>
    </xdr:to>
    <xdr:sp macro="" textlink="">
      <xdr:nvSpPr>
        <xdr:cNvPr id="52" name="Line 69"/>
        <xdr:cNvSpPr>
          <a:spLocks noChangeShapeType="1"/>
        </xdr:cNvSpPr>
      </xdr:nvSpPr>
      <xdr:spPr bwMode="auto">
        <a:xfrm>
          <a:off x="628650" y="6477000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0</xdr:colOff>
      <xdr:row>7</xdr:row>
      <xdr:rowOff>19050</xdr:rowOff>
    </xdr:from>
    <xdr:to>
      <xdr:col>3</xdr:col>
      <xdr:colOff>285750</xdr:colOff>
      <xdr:row>7</xdr:row>
      <xdr:rowOff>19050</xdr:rowOff>
    </xdr:to>
    <xdr:sp macro="" textlink="">
      <xdr:nvSpPr>
        <xdr:cNvPr id="53" name="Line 71"/>
        <xdr:cNvSpPr>
          <a:spLocks noChangeShapeType="1"/>
        </xdr:cNvSpPr>
      </xdr:nvSpPr>
      <xdr:spPr bwMode="auto">
        <a:xfrm>
          <a:off x="933450" y="781050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7938</xdr:colOff>
      <xdr:row>8</xdr:row>
      <xdr:rowOff>4988</xdr:rowOff>
    </xdr:from>
    <xdr:to>
      <xdr:col>3</xdr:col>
      <xdr:colOff>296333</xdr:colOff>
      <xdr:row>8</xdr:row>
      <xdr:rowOff>5291</xdr:rowOff>
    </xdr:to>
    <xdr:sp macro="" textlink="">
      <xdr:nvSpPr>
        <xdr:cNvPr id="54" name="Line 72"/>
        <xdr:cNvSpPr>
          <a:spLocks noChangeShapeType="1"/>
        </xdr:cNvSpPr>
      </xdr:nvSpPr>
      <xdr:spPr bwMode="auto">
        <a:xfrm>
          <a:off x="1740959" y="1097717"/>
          <a:ext cx="288395" cy="303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4536</xdr:colOff>
      <xdr:row>29</xdr:row>
      <xdr:rowOff>81643</xdr:rowOff>
    </xdr:from>
    <xdr:to>
      <xdr:col>3</xdr:col>
      <xdr:colOff>309336</xdr:colOff>
      <xdr:row>29</xdr:row>
      <xdr:rowOff>81643</xdr:rowOff>
    </xdr:to>
    <xdr:sp macro="" textlink="">
      <xdr:nvSpPr>
        <xdr:cNvPr id="55" name="Line 73"/>
        <xdr:cNvSpPr>
          <a:spLocks noChangeShapeType="1"/>
        </xdr:cNvSpPr>
      </xdr:nvSpPr>
      <xdr:spPr bwMode="auto">
        <a:xfrm>
          <a:off x="1737179" y="4853214"/>
          <a:ext cx="3048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9525</xdr:colOff>
      <xdr:row>29</xdr:row>
      <xdr:rowOff>159204</xdr:rowOff>
    </xdr:from>
    <xdr:to>
      <xdr:col>3</xdr:col>
      <xdr:colOff>295275</xdr:colOff>
      <xdr:row>29</xdr:row>
      <xdr:rowOff>159204</xdr:rowOff>
    </xdr:to>
    <xdr:sp macro="" textlink="">
      <xdr:nvSpPr>
        <xdr:cNvPr id="56" name="Line 74"/>
        <xdr:cNvSpPr>
          <a:spLocks noChangeShapeType="1"/>
        </xdr:cNvSpPr>
      </xdr:nvSpPr>
      <xdr:spPr bwMode="auto">
        <a:xfrm>
          <a:off x="1742168" y="4930775"/>
          <a:ext cx="28575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209551</xdr:colOff>
      <xdr:row>45</xdr:row>
      <xdr:rowOff>4763</xdr:rowOff>
    </xdr:from>
    <xdr:to>
      <xdr:col>2</xdr:col>
      <xdr:colOff>928689</xdr:colOff>
      <xdr:row>45</xdr:row>
      <xdr:rowOff>7937</xdr:rowOff>
    </xdr:to>
    <xdr:sp macro="" textlink="">
      <xdr:nvSpPr>
        <xdr:cNvPr id="57" name="Line 75"/>
        <xdr:cNvSpPr>
          <a:spLocks noChangeShapeType="1"/>
        </xdr:cNvSpPr>
      </xdr:nvSpPr>
      <xdr:spPr bwMode="auto">
        <a:xfrm flipV="1">
          <a:off x="1009651" y="7129463"/>
          <a:ext cx="719138" cy="3174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9264</xdr:colOff>
      <xdr:row>50</xdr:row>
      <xdr:rowOff>163128</xdr:rowOff>
    </xdr:from>
    <xdr:to>
      <xdr:col>3</xdr:col>
      <xdr:colOff>9264</xdr:colOff>
      <xdr:row>63</xdr:row>
      <xdr:rowOff>10728</xdr:rowOff>
    </xdr:to>
    <xdr:sp macro="" textlink="">
      <xdr:nvSpPr>
        <xdr:cNvPr id="58" name="Line 93"/>
        <xdr:cNvSpPr>
          <a:spLocks noChangeShapeType="1"/>
        </xdr:cNvSpPr>
      </xdr:nvSpPr>
      <xdr:spPr bwMode="auto">
        <a:xfrm>
          <a:off x="1744175" y="8446476"/>
          <a:ext cx="0" cy="197031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209550</xdr:colOff>
      <xdr:row>63</xdr:row>
      <xdr:rowOff>2722</xdr:rowOff>
    </xdr:from>
    <xdr:to>
      <xdr:col>3</xdr:col>
      <xdr:colOff>0</xdr:colOff>
      <xdr:row>63</xdr:row>
      <xdr:rowOff>2722</xdr:rowOff>
    </xdr:to>
    <xdr:sp macro="" textlink="">
      <xdr:nvSpPr>
        <xdr:cNvPr id="59" name="Line 94"/>
        <xdr:cNvSpPr>
          <a:spLocks noChangeShapeType="1"/>
        </xdr:cNvSpPr>
      </xdr:nvSpPr>
      <xdr:spPr bwMode="auto">
        <a:xfrm flipH="1">
          <a:off x="1012371" y="10408785"/>
          <a:ext cx="72254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209550</xdr:colOff>
      <xdr:row>63</xdr:row>
      <xdr:rowOff>0</xdr:rowOff>
    </xdr:from>
    <xdr:to>
      <xdr:col>2</xdr:col>
      <xdr:colOff>209550</xdr:colOff>
      <xdr:row>64</xdr:row>
      <xdr:rowOff>152400</xdr:rowOff>
    </xdr:to>
    <xdr:sp macro="" textlink="">
      <xdr:nvSpPr>
        <xdr:cNvPr id="60" name="Line 95"/>
        <xdr:cNvSpPr>
          <a:spLocks noChangeShapeType="1"/>
        </xdr:cNvSpPr>
      </xdr:nvSpPr>
      <xdr:spPr bwMode="auto">
        <a:xfrm>
          <a:off x="209550" y="11096625"/>
          <a:ext cx="0" cy="3429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4</xdr:col>
      <xdr:colOff>758726</xdr:colOff>
      <xdr:row>63</xdr:row>
      <xdr:rowOff>579</xdr:rowOff>
    </xdr:from>
    <xdr:to>
      <xdr:col>5</xdr:col>
      <xdr:colOff>128</xdr:colOff>
      <xdr:row>65</xdr:row>
      <xdr:rowOff>7055</xdr:rowOff>
    </xdr:to>
    <xdr:sp macro="" textlink="">
      <xdr:nvSpPr>
        <xdr:cNvPr id="61" name="Line 96"/>
        <xdr:cNvSpPr>
          <a:spLocks noChangeShapeType="1"/>
        </xdr:cNvSpPr>
      </xdr:nvSpPr>
      <xdr:spPr bwMode="auto">
        <a:xfrm>
          <a:off x="2984754" y="10400468"/>
          <a:ext cx="3402" cy="359254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306160</xdr:colOff>
      <xdr:row>63</xdr:row>
      <xdr:rowOff>3401</xdr:rowOff>
    </xdr:from>
    <xdr:to>
      <xdr:col>4</xdr:col>
      <xdr:colOff>758599</xdr:colOff>
      <xdr:row>63</xdr:row>
      <xdr:rowOff>3401</xdr:rowOff>
    </xdr:to>
    <xdr:sp macro="" textlink="">
      <xdr:nvSpPr>
        <xdr:cNvPr id="62" name="Line 97"/>
        <xdr:cNvSpPr>
          <a:spLocks noChangeShapeType="1"/>
        </xdr:cNvSpPr>
      </xdr:nvSpPr>
      <xdr:spPr bwMode="auto">
        <a:xfrm>
          <a:off x="2041071" y="10409464"/>
          <a:ext cx="949099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209550</xdr:colOff>
      <xdr:row>61</xdr:row>
      <xdr:rowOff>1</xdr:rowOff>
    </xdr:from>
    <xdr:to>
      <xdr:col>3</xdr:col>
      <xdr:colOff>6803</xdr:colOff>
      <xdr:row>61</xdr:row>
      <xdr:rowOff>3403</xdr:rowOff>
    </xdr:to>
    <xdr:sp macro="" textlink="">
      <xdr:nvSpPr>
        <xdr:cNvPr id="65" name="Line 105"/>
        <xdr:cNvSpPr>
          <a:spLocks noChangeShapeType="1"/>
        </xdr:cNvSpPr>
      </xdr:nvSpPr>
      <xdr:spPr bwMode="auto">
        <a:xfrm>
          <a:off x="1012371" y="10079492"/>
          <a:ext cx="729343" cy="340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903015</xdr:colOff>
      <xdr:row>63</xdr:row>
      <xdr:rowOff>43296</xdr:rowOff>
    </xdr:from>
    <xdr:to>
      <xdr:col>3</xdr:col>
      <xdr:colOff>346363</xdr:colOff>
      <xdr:row>63</xdr:row>
      <xdr:rowOff>51152</xdr:rowOff>
    </xdr:to>
    <xdr:sp macro="" textlink="">
      <xdr:nvSpPr>
        <xdr:cNvPr id="66" name="Line 106"/>
        <xdr:cNvSpPr>
          <a:spLocks noChangeShapeType="1"/>
        </xdr:cNvSpPr>
      </xdr:nvSpPr>
      <xdr:spPr bwMode="auto">
        <a:xfrm flipV="1">
          <a:off x="1699651" y="10269682"/>
          <a:ext cx="378530" cy="7856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5</xdr:col>
      <xdr:colOff>148167</xdr:colOff>
      <xdr:row>62</xdr:row>
      <xdr:rowOff>161220</xdr:rowOff>
    </xdr:from>
    <xdr:to>
      <xdr:col>5</xdr:col>
      <xdr:colOff>155223</xdr:colOff>
      <xdr:row>64</xdr:row>
      <xdr:rowOff>155223</xdr:rowOff>
    </xdr:to>
    <xdr:sp macro="" textlink="">
      <xdr:nvSpPr>
        <xdr:cNvPr id="67" name="Line 107"/>
        <xdr:cNvSpPr>
          <a:spLocks noChangeShapeType="1"/>
        </xdr:cNvSpPr>
      </xdr:nvSpPr>
      <xdr:spPr bwMode="auto">
        <a:xfrm>
          <a:off x="3136195" y="10398831"/>
          <a:ext cx="7056" cy="318559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5</xdr:col>
      <xdr:colOff>635975</xdr:colOff>
      <xdr:row>50</xdr:row>
      <xdr:rowOff>152399</xdr:rowOff>
    </xdr:from>
    <xdr:to>
      <xdr:col>5</xdr:col>
      <xdr:colOff>637441</xdr:colOff>
      <xdr:row>65</xdr:row>
      <xdr:rowOff>7326</xdr:rowOff>
    </xdr:to>
    <xdr:sp macro="" textlink="">
      <xdr:nvSpPr>
        <xdr:cNvPr id="68" name="Line 108"/>
        <xdr:cNvSpPr>
          <a:spLocks noChangeShapeType="1"/>
        </xdr:cNvSpPr>
      </xdr:nvSpPr>
      <xdr:spPr bwMode="auto">
        <a:xfrm>
          <a:off x="3669321" y="8087457"/>
          <a:ext cx="1466" cy="2302119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319769</xdr:colOff>
      <xdr:row>65</xdr:row>
      <xdr:rowOff>158524</xdr:rowOff>
    </xdr:from>
    <xdr:to>
      <xdr:col>5</xdr:col>
      <xdr:colOff>6125</xdr:colOff>
      <xdr:row>66</xdr:row>
      <xdr:rowOff>0</xdr:rowOff>
    </xdr:to>
    <xdr:sp macro="" textlink="">
      <xdr:nvSpPr>
        <xdr:cNvPr id="69" name="Line 109"/>
        <xdr:cNvSpPr>
          <a:spLocks noChangeShapeType="1"/>
        </xdr:cNvSpPr>
      </xdr:nvSpPr>
      <xdr:spPr bwMode="auto">
        <a:xfrm flipV="1">
          <a:off x="2054680" y="10891158"/>
          <a:ext cx="945016" cy="4762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561295</xdr:colOff>
      <xdr:row>61</xdr:row>
      <xdr:rowOff>6804</xdr:rowOff>
    </xdr:from>
    <xdr:to>
      <xdr:col>2</xdr:col>
      <xdr:colOff>561295</xdr:colOff>
      <xdr:row>63</xdr:row>
      <xdr:rowOff>0</xdr:rowOff>
    </xdr:to>
    <xdr:sp macro="" textlink="">
      <xdr:nvSpPr>
        <xdr:cNvPr id="70" name="Line 110"/>
        <xdr:cNvSpPr>
          <a:spLocks noChangeShapeType="1"/>
        </xdr:cNvSpPr>
      </xdr:nvSpPr>
      <xdr:spPr bwMode="auto">
        <a:xfrm flipH="1">
          <a:off x="1364116" y="10086295"/>
          <a:ext cx="0" cy="319768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9525</xdr:colOff>
      <xdr:row>51</xdr:row>
      <xdr:rowOff>2199</xdr:rowOff>
    </xdr:from>
    <xdr:to>
      <xdr:col>3</xdr:col>
      <xdr:colOff>295275</xdr:colOff>
      <xdr:row>51</xdr:row>
      <xdr:rowOff>2199</xdr:rowOff>
    </xdr:to>
    <xdr:sp macro="" textlink="">
      <xdr:nvSpPr>
        <xdr:cNvPr id="71" name="Line 111"/>
        <xdr:cNvSpPr>
          <a:spLocks noChangeShapeType="1"/>
        </xdr:cNvSpPr>
      </xdr:nvSpPr>
      <xdr:spPr bwMode="auto">
        <a:xfrm>
          <a:off x="1742342" y="8409843"/>
          <a:ext cx="285750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212953</xdr:colOff>
      <xdr:row>65</xdr:row>
      <xdr:rowOff>156482</xdr:rowOff>
    </xdr:from>
    <xdr:to>
      <xdr:col>2</xdr:col>
      <xdr:colOff>928688</xdr:colOff>
      <xdr:row>66</xdr:row>
      <xdr:rowOff>3401</xdr:rowOff>
    </xdr:to>
    <xdr:sp macro="" textlink="">
      <xdr:nvSpPr>
        <xdr:cNvPr id="72" name="Line 112"/>
        <xdr:cNvSpPr>
          <a:spLocks noChangeShapeType="1"/>
        </xdr:cNvSpPr>
      </xdr:nvSpPr>
      <xdr:spPr bwMode="auto">
        <a:xfrm>
          <a:off x="1015774" y="10889116"/>
          <a:ext cx="715735" cy="1020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232001</xdr:colOff>
      <xdr:row>66</xdr:row>
      <xdr:rowOff>163285</xdr:rowOff>
    </xdr:from>
    <xdr:to>
      <xdr:col>4</xdr:col>
      <xdr:colOff>755197</xdr:colOff>
      <xdr:row>67</xdr:row>
      <xdr:rowOff>1</xdr:rowOff>
    </xdr:to>
    <xdr:sp macro="" textlink="">
      <xdr:nvSpPr>
        <xdr:cNvPr id="73" name="Line 113"/>
        <xdr:cNvSpPr>
          <a:spLocks noChangeShapeType="1"/>
        </xdr:cNvSpPr>
      </xdr:nvSpPr>
      <xdr:spPr bwMode="auto">
        <a:xfrm flipV="1">
          <a:off x="1034822" y="11059205"/>
          <a:ext cx="1951946" cy="1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295275</xdr:colOff>
      <xdr:row>51</xdr:row>
      <xdr:rowOff>0</xdr:rowOff>
    </xdr:from>
    <xdr:to>
      <xdr:col>3</xdr:col>
      <xdr:colOff>306160</xdr:colOff>
      <xdr:row>63</xdr:row>
      <xdr:rowOff>6803</xdr:rowOff>
    </xdr:to>
    <xdr:sp macro="" textlink="">
      <xdr:nvSpPr>
        <xdr:cNvPr id="75" name="Line 116"/>
        <xdr:cNvSpPr>
          <a:spLocks noChangeShapeType="1"/>
        </xdr:cNvSpPr>
      </xdr:nvSpPr>
      <xdr:spPr bwMode="auto">
        <a:xfrm>
          <a:off x="2030186" y="8446634"/>
          <a:ext cx="10885" cy="196623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114300</xdr:colOff>
      <xdr:row>57</xdr:row>
      <xdr:rowOff>152400</xdr:rowOff>
    </xdr:from>
    <xdr:to>
      <xdr:col>3</xdr:col>
      <xdr:colOff>114300</xdr:colOff>
      <xdr:row>58</xdr:row>
      <xdr:rowOff>171450</xdr:rowOff>
    </xdr:to>
    <xdr:sp macro="" textlink="">
      <xdr:nvSpPr>
        <xdr:cNvPr id="76" name="Line 117"/>
        <xdr:cNvSpPr>
          <a:spLocks noChangeShapeType="1"/>
        </xdr:cNvSpPr>
      </xdr:nvSpPr>
      <xdr:spPr bwMode="auto">
        <a:xfrm>
          <a:off x="1047750" y="10163175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38100</xdr:colOff>
      <xdr:row>56</xdr:row>
      <xdr:rowOff>114300</xdr:rowOff>
    </xdr:from>
    <xdr:to>
      <xdr:col>3</xdr:col>
      <xdr:colOff>221116</xdr:colOff>
      <xdr:row>57</xdr:row>
      <xdr:rowOff>152400</xdr:rowOff>
    </xdr:to>
    <xdr:sp macro="" textlink="">
      <xdr:nvSpPr>
        <xdr:cNvPr id="77" name="Rectangle 118"/>
        <xdr:cNvSpPr>
          <a:spLocks noChangeArrowheads="1"/>
        </xdr:cNvSpPr>
      </xdr:nvSpPr>
      <xdr:spPr bwMode="auto">
        <a:xfrm>
          <a:off x="1773011" y="9377363"/>
          <a:ext cx="183016" cy="20138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P1</a:t>
          </a:r>
        </a:p>
      </xdr:txBody>
    </xdr:sp>
    <xdr:clientData/>
  </xdr:twoCellAnchor>
  <xdr:twoCellAnchor>
    <xdr:from>
      <xdr:col>3</xdr:col>
      <xdr:colOff>304800</xdr:colOff>
      <xdr:row>63</xdr:row>
      <xdr:rowOff>95250</xdr:rowOff>
    </xdr:from>
    <xdr:to>
      <xdr:col>3</xdr:col>
      <xdr:colOff>304800</xdr:colOff>
      <xdr:row>64</xdr:row>
      <xdr:rowOff>180975</xdr:rowOff>
    </xdr:to>
    <xdr:sp macro="" textlink="">
      <xdr:nvSpPr>
        <xdr:cNvPr id="78" name="Line 121"/>
        <xdr:cNvSpPr>
          <a:spLocks noChangeShapeType="1"/>
        </xdr:cNvSpPr>
      </xdr:nvSpPr>
      <xdr:spPr bwMode="auto">
        <a:xfrm>
          <a:off x="1238250" y="111918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390525</xdr:colOff>
      <xdr:row>63</xdr:row>
      <xdr:rowOff>155121</xdr:rowOff>
    </xdr:from>
    <xdr:to>
      <xdr:col>4</xdr:col>
      <xdr:colOff>6804</xdr:colOff>
      <xdr:row>64</xdr:row>
      <xdr:rowOff>134711</xdr:rowOff>
    </xdr:to>
    <xdr:sp macro="" textlink="">
      <xdr:nvSpPr>
        <xdr:cNvPr id="79" name="Rectangle 122"/>
        <xdr:cNvSpPr>
          <a:spLocks noChangeArrowheads="1"/>
        </xdr:cNvSpPr>
      </xdr:nvSpPr>
      <xdr:spPr bwMode="auto">
        <a:xfrm>
          <a:off x="2125436" y="10561184"/>
          <a:ext cx="112939" cy="1428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P3</a:t>
          </a:r>
        </a:p>
      </xdr:txBody>
    </xdr:sp>
    <xdr:clientData/>
  </xdr:twoCellAnchor>
  <xdr:twoCellAnchor>
    <xdr:from>
      <xdr:col>4</xdr:col>
      <xdr:colOff>758597</xdr:colOff>
      <xdr:row>51</xdr:row>
      <xdr:rowOff>5443</xdr:rowOff>
    </xdr:from>
    <xdr:to>
      <xdr:col>5</xdr:col>
      <xdr:colOff>2721</xdr:colOff>
      <xdr:row>63</xdr:row>
      <xdr:rowOff>6803</xdr:rowOff>
    </xdr:to>
    <xdr:sp macro="" textlink="">
      <xdr:nvSpPr>
        <xdr:cNvPr id="80" name="Line 125"/>
        <xdr:cNvSpPr>
          <a:spLocks noChangeShapeType="1"/>
        </xdr:cNvSpPr>
      </xdr:nvSpPr>
      <xdr:spPr bwMode="auto">
        <a:xfrm flipH="1">
          <a:off x="2987447" y="8471807"/>
          <a:ext cx="6124" cy="196078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295955</xdr:colOff>
      <xdr:row>51</xdr:row>
      <xdr:rowOff>3402</xdr:rowOff>
    </xdr:from>
    <xdr:to>
      <xdr:col>4</xdr:col>
      <xdr:colOff>762000</xdr:colOff>
      <xdr:row>51</xdr:row>
      <xdr:rowOff>3402</xdr:rowOff>
    </xdr:to>
    <xdr:sp macro="" textlink="">
      <xdr:nvSpPr>
        <xdr:cNvPr id="81" name="Line 126"/>
        <xdr:cNvSpPr>
          <a:spLocks noChangeShapeType="1"/>
        </xdr:cNvSpPr>
      </xdr:nvSpPr>
      <xdr:spPr bwMode="auto">
        <a:xfrm flipV="1">
          <a:off x="2030866" y="8450036"/>
          <a:ext cx="96270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209550</xdr:colOff>
      <xdr:row>57</xdr:row>
      <xdr:rowOff>57150</xdr:rowOff>
    </xdr:from>
    <xdr:to>
      <xdr:col>4</xdr:col>
      <xdr:colOff>209550</xdr:colOff>
      <xdr:row>58</xdr:row>
      <xdr:rowOff>161925</xdr:rowOff>
    </xdr:to>
    <xdr:sp macro="" textlink="">
      <xdr:nvSpPr>
        <xdr:cNvPr id="82" name="Line 127"/>
        <xdr:cNvSpPr>
          <a:spLocks noChangeShapeType="1"/>
        </xdr:cNvSpPr>
      </xdr:nvSpPr>
      <xdr:spPr bwMode="auto">
        <a:xfrm>
          <a:off x="1638300" y="10067925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123824</xdr:colOff>
      <xdr:row>55</xdr:row>
      <xdr:rowOff>144235</xdr:rowOff>
    </xdr:from>
    <xdr:to>
      <xdr:col>4</xdr:col>
      <xdr:colOff>326571</xdr:colOff>
      <xdr:row>56</xdr:row>
      <xdr:rowOff>142874</xdr:rowOff>
    </xdr:to>
    <xdr:sp macro="" textlink="">
      <xdr:nvSpPr>
        <xdr:cNvPr id="83" name="Rectangle 128"/>
        <xdr:cNvSpPr>
          <a:spLocks noChangeArrowheads="1"/>
        </xdr:cNvSpPr>
      </xdr:nvSpPr>
      <xdr:spPr bwMode="auto">
        <a:xfrm>
          <a:off x="2355395" y="9244012"/>
          <a:ext cx="202747" cy="1619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P5</a:t>
          </a:r>
        </a:p>
      </xdr:txBody>
    </xdr:sp>
    <xdr:clientData/>
  </xdr:twoCellAnchor>
  <xdr:twoCellAnchor>
    <xdr:from>
      <xdr:col>5</xdr:col>
      <xdr:colOff>148166</xdr:colOff>
      <xdr:row>50</xdr:row>
      <xdr:rowOff>161245</xdr:rowOff>
    </xdr:from>
    <xdr:to>
      <xdr:col>5</xdr:col>
      <xdr:colOff>161925</xdr:colOff>
      <xdr:row>63</xdr:row>
      <xdr:rowOff>0</xdr:rowOff>
    </xdr:to>
    <xdr:sp macro="" textlink="">
      <xdr:nvSpPr>
        <xdr:cNvPr id="84" name="Line 129"/>
        <xdr:cNvSpPr>
          <a:spLocks noChangeShapeType="1"/>
        </xdr:cNvSpPr>
      </xdr:nvSpPr>
      <xdr:spPr bwMode="auto">
        <a:xfrm flipH="1">
          <a:off x="3136194" y="8451523"/>
          <a:ext cx="13759" cy="1948366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38100</xdr:colOff>
      <xdr:row>61</xdr:row>
      <xdr:rowOff>1587</xdr:rowOff>
    </xdr:from>
    <xdr:to>
      <xdr:col>2</xdr:col>
      <xdr:colOff>47625</xdr:colOff>
      <xdr:row>65</xdr:row>
      <xdr:rowOff>11112</xdr:rowOff>
    </xdr:to>
    <xdr:sp macro="" textlink="">
      <xdr:nvSpPr>
        <xdr:cNvPr id="85" name="Line 132"/>
        <xdr:cNvSpPr>
          <a:spLocks noChangeShapeType="1"/>
        </xdr:cNvSpPr>
      </xdr:nvSpPr>
      <xdr:spPr bwMode="auto">
        <a:xfrm>
          <a:off x="831850" y="9582150"/>
          <a:ext cx="9525" cy="6762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235404</xdr:colOff>
      <xdr:row>63</xdr:row>
      <xdr:rowOff>87085</xdr:rowOff>
    </xdr:from>
    <xdr:to>
      <xdr:col>2</xdr:col>
      <xdr:colOff>435429</xdr:colOff>
      <xdr:row>64</xdr:row>
      <xdr:rowOff>119063</xdr:rowOff>
    </xdr:to>
    <xdr:sp macro="" textlink="">
      <xdr:nvSpPr>
        <xdr:cNvPr id="88" name="Oval 135"/>
        <xdr:cNvSpPr>
          <a:spLocks noChangeArrowheads="1"/>
        </xdr:cNvSpPr>
      </xdr:nvSpPr>
      <xdr:spPr bwMode="auto">
        <a:xfrm>
          <a:off x="1038225" y="10493148"/>
          <a:ext cx="200025" cy="195263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A</a:t>
          </a:r>
        </a:p>
      </xdr:txBody>
    </xdr:sp>
    <xdr:clientData/>
  </xdr:twoCellAnchor>
  <xdr:twoCellAnchor>
    <xdr:from>
      <xdr:col>6</xdr:col>
      <xdr:colOff>752475</xdr:colOff>
      <xdr:row>59</xdr:row>
      <xdr:rowOff>57150</xdr:rowOff>
    </xdr:from>
    <xdr:to>
      <xdr:col>6</xdr:col>
      <xdr:colOff>752475</xdr:colOff>
      <xdr:row>64</xdr:row>
      <xdr:rowOff>180975</xdr:rowOff>
    </xdr:to>
    <xdr:sp macro="" textlink="">
      <xdr:nvSpPr>
        <xdr:cNvPr id="90" name="Line 137"/>
        <xdr:cNvSpPr>
          <a:spLocks noChangeShapeType="1"/>
        </xdr:cNvSpPr>
      </xdr:nvSpPr>
      <xdr:spPr bwMode="auto">
        <a:xfrm>
          <a:off x="3686175" y="10448925"/>
          <a:ext cx="0" cy="10191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7</xdr:col>
      <xdr:colOff>185372</xdr:colOff>
      <xdr:row>54</xdr:row>
      <xdr:rowOff>75467</xdr:rowOff>
    </xdr:from>
    <xdr:to>
      <xdr:col>7</xdr:col>
      <xdr:colOff>718772</xdr:colOff>
      <xdr:row>55</xdr:row>
      <xdr:rowOff>36635</xdr:rowOff>
    </xdr:to>
    <xdr:sp macro="" textlink="">
      <xdr:nvSpPr>
        <xdr:cNvPr id="91" name="AutoShape 138"/>
        <xdr:cNvSpPr>
          <a:spLocks noChangeArrowheads="1"/>
        </xdr:cNvSpPr>
      </xdr:nvSpPr>
      <xdr:spPr bwMode="auto">
        <a:xfrm>
          <a:off x="4823314" y="8655294"/>
          <a:ext cx="533400" cy="122360"/>
        </a:xfrm>
        <a:prstGeom prst="leftArrow">
          <a:avLst>
            <a:gd name="adj1" fmla="val 50000"/>
            <a:gd name="adj2" fmla="val 17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752475</xdr:colOff>
      <xdr:row>55</xdr:row>
      <xdr:rowOff>133350</xdr:rowOff>
    </xdr:from>
    <xdr:to>
      <xdr:col>7</xdr:col>
      <xdr:colOff>752475</xdr:colOff>
      <xdr:row>64</xdr:row>
      <xdr:rowOff>180975</xdr:rowOff>
    </xdr:to>
    <xdr:sp macro="" textlink="">
      <xdr:nvSpPr>
        <xdr:cNvPr id="92" name="Line 139"/>
        <xdr:cNvSpPr>
          <a:spLocks noChangeShapeType="1"/>
        </xdr:cNvSpPr>
      </xdr:nvSpPr>
      <xdr:spPr bwMode="auto">
        <a:xfrm>
          <a:off x="4448175" y="9791700"/>
          <a:ext cx="0" cy="16764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133350</xdr:colOff>
      <xdr:row>50</xdr:row>
      <xdr:rowOff>9525</xdr:rowOff>
    </xdr:from>
    <xdr:to>
      <xdr:col>4</xdr:col>
      <xdr:colOff>133350</xdr:colOff>
      <xdr:row>50</xdr:row>
      <xdr:rowOff>180975</xdr:rowOff>
    </xdr:to>
    <xdr:sp macro="" textlink="">
      <xdr:nvSpPr>
        <xdr:cNvPr id="93" name="Line 142"/>
        <xdr:cNvSpPr>
          <a:spLocks noChangeShapeType="1"/>
        </xdr:cNvSpPr>
      </xdr:nvSpPr>
      <xdr:spPr bwMode="auto">
        <a:xfrm>
          <a:off x="1562100" y="8829675"/>
          <a:ext cx="0" cy="1714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274864</xdr:colOff>
      <xdr:row>49</xdr:row>
      <xdr:rowOff>125185</xdr:rowOff>
    </xdr:from>
    <xdr:to>
      <xdr:col>4</xdr:col>
      <xdr:colOff>512989</xdr:colOff>
      <xdr:row>50</xdr:row>
      <xdr:rowOff>134711</xdr:rowOff>
    </xdr:to>
    <xdr:sp macro="" textlink="">
      <xdr:nvSpPr>
        <xdr:cNvPr id="94" name="Rectangle 143"/>
        <xdr:cNvSpPr>
          <a:spLocks noChangeArrowheads="1"/>
        </xdr:cNvSpPr>
      </xdr:nvSpPr>
      <xdr:spPr bwMode="auto">
        <a:xfrm>
          <a:off x="2506435" y="8245248"/>
          <a:ext cx="238125" cy="172811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P6</a:t>
          </a:r>
        </a:p>
      </xdr:txBody>
    </xdr:sp>
    <xdr:clientData/>
  </xdr:twoCellAnchor>
  <xdr:twoCellAnchor>
    <xdr:from>
      <xdr:col>2</xdr:col>
      <xdr:colOff>952500</xdr:colOff>
      <xdr:row>93</xdr:row>
      <xdr:rowOff>9525</xdr:rowOff>
    </xdr:from>
    <xdr:to>
      <xdr:col>4</xdr:col>
      <xdr:colOff>0</xdr:colOff>
      <xdr:row>93</xdr:row>
      <xdr:rowOff>9525</xdr:rowOff>
    </xdr:to>
    <xdr:sp macro="" textlink="">
      <xdr:nvSpPr>
        <xdr:cNvPr id="95" name="Line 145"/>
        <xdr:cNvSpPr>
          <a:spLocks noChangeShapeType="1"/>
        </xdr:cNvSpPr>
      </xdr:nvSpPr>
      <xdr:spPr bwMode="auto">
        <a:xfrm>
          <a:off x="933450" y="1544955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93</xdr:row>
      <xdr:rowOff>9525</xdr:rowOff>
    </xdr:from>
    <xdr:to>
      <xdr:col>3</xdr:col>
      <xdr:colOff>0</xdr:colOff>
      <xdr:row>95</xdr:row>
      <xdr:rowOff>0</xdr:rowOff>
    </xdr:to>
    <xdr:sp macro="" textlink="">
      <xdr:nvSpPr>
        <xdr:cNvPr id="96" name="Line 146"/>
        <xdr:cNvSpPr>
          <a:spLocks noChangeShapeType="1"/>
        </xdr:cNvSpPr>
      </xdr:nvSpPr>
      <xdr:spPr bwMode="auto">
        <a:xfrm>
          <a:off x="933450" y="15449550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95</xdr:row>
      <xdr:rowOff>0</xdr:rowOff>
    </xdr:from>
    <xdr:to>
      <xdr:col>6</xdr:col>
      <xdr:colOff>0</xdr:colOff>
      <xdr:row>95</xdr:row>
      <xdr:rowOff>0</xdr:rowOff>
    </xdr:to>
    <xdr:sp macro="" textlink="">
      <xdr:nvSpPr>
        <xdr:cNvPr id="97" name="Line 147"/>
        <xdr:cNvSpPr>
          <a:spLocks noChangeShapeType="1"/>
        </xdr:cNvSpPr>
      </xdr:nvSpPr>
      <xdr:spPr bwMode="auto">
        <a:xfrm>
          <a:off x="1733550" y="15401925"/>
          <a:ext cx="2038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4762</xdr:colOff>
      <xdr:row>93</xdr:row>
      <xdr:rowOff>4762</xdr:rowOff>
    </xdr:from>
    <xdr:to>
      <xdr:col>6</xdr:col>
      <xdr:colOff>4762</xdr:colOff>
      <xdr:row>95</xdr:row>
      <xdr:rowOff>0</xdr:rowOff>
    </xdr:to>
    <xdr:sp macro="" textlink="">
      <xdr:nvSpPr>
        <xdr:cNvPr id="98" name="Line 148"/>
        <xdr:cNvSpPr>
          <a:spLocks noChangeShapeType="1"/>
        </xdr:cNvSpPr>
      </xdr:nvSpPr>
      <xdr:spPr bwMode="auto">
        <a:xfrm flipV="1">
          <a:off x="3776662" y="15082837"/>
          <a:ext cx="0" cy="319088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93</xdr:row>
      <xdr:rowOff>9525</xdr:rowOff>
    </xdr:from>
    <xdr:to>
      <xdr:col>6</xdr:col>
      <xdr:colOff>9525</xdr:colOff>
      <xdr:row>93</xdr:row>
      <xdr:rowOff>9525</xdr:rowOff>
    </xdr:to>
    <xdr:sp macro="" textlink="">
      <xdr:nvSpPr>
        <xdr:cNvPr id="99" name="Line 149"/>
        <xdr:cNvSpPr>
          <a:spLocks noChangeShapeType="1"/>
        </xdr:cNvSpPr>
      </xdr:nvSpPr>
      <xdr:spPr bwMode="auto">
        <a:xfrm flipH="1">
          <a:off x="2667000" y="15087600"/>
          <a:ext cx="1114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91</xdr:row>
      <xdr:rowOff>9525</xdr:rowOff>
    </xdr:from>
    <xdr:to>
      <xdr:col>4</xdr:col>
      <xdr:colOff>0</xdr:colOff>
      <xdr:row>93</xdr:row>
      <xdr:rowOff>9525</xdr:rowOff>
    </xdr:to>
    <xdr:sp macro="" textlink="">
      <xdr:nvSpPr>
        <xdr:cNvPr id="100" name="Line 150"/>
        <xdr:cNvSpPr>
          <a:spLocks noChangeShapeType="1"/>
        </xdr:cNvSpPr>
      </xdr:nvSpPr>
      <xdr:spPr bwMode="auto">
        <a:xfrm flipV="1">
          <a:off x="1428750" y="151257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409575</xdr:colOff>
      <xdr:row>91</xdr:row>
      <xdr:rowOff>0</xdr:rowOff>
    </xdr:from>
    <xdr:to>
      <xdr:col>4</xdr:col>
      <xdr:colOff>409575</xdr:colOff>
      <xdr:row>93</xdr:row>
      <xdr:rowOff>9525</xdr:rowOff>
    </xdr:to>
    <xdr:sp macro="" textlink="">
      <xdr:nvSpPr>
        <xdr:cNvPr id="101" name="Line 151"/>
        <xdr:cNvSpPr>
          <a:spLocks noChangeShapeType="1"/>
        </xdr:cNvSpPr>
      </xdr:nvSpPr>
      <xdr:spPr bwMode="auto">
        <a:xfrm flipV="1">
          <a:off x="1838325" y="15116175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929640</xdr:colOff>
      <xdr:row>97</xdr:row>
      <xdr:rowOff>1905</xdr:rowOff>
    </xdr:from>
    <xdr:to>
      <xdr:col>6</xdr:col>
      <xdr:colOff>15240</xdr:colOff>
      <xdr:row>97</xdr:row>
      <xdr:rowOff>1905</xdr:rowOff>
    </xdr:to>
    <xdr:sp macro="" textlink="">
      <xdr:nvSpPr>
        <xdr:cNvPr id="102" name="Line 152"/>
        <xdr:cNvSpPr>
          <a:spLocks noChangeShapeType="1"/>
        </xdr:cNvSpPr>
      </xdr:nvSpPr>
      <xdr:spPr bwMode="auto">
        <a:xfrm>
          <a:off x="1729740" y="15885795"/>
          <a:ext cx="2057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97</xdr:row>
      <xdr:rowOff>9525</xdr:rowOff>
    </xdr:from>
    <xdr:to>
      <xdr:col>6</xdr:col>
      <xdr:colOff>9525</xdr:colOff>
      <xdr:row>98</xdr:row>
      <xdr:rowOff>0</xdr:rowOff>
    </xdr:to>
    <xdr:sp macro="" textlink="">
      <xdr:nvSpPr>
        <xdr:cNvPr id="103" name="Line 153"/>
        <xdr:cNvSpPr>
          <a:spLocks noChangeShapeType="1"/>
        </xdr:cNvSpPr>
      </xdr:nvSpPr>
      <xdr:spPr bwMode="auto">
        <a:xfrm>
          <a:off x="2943225" y="1593532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952500</xdr:colOff>
      <xdr:row>97</xdr:row>
      <xdr:rowOff>0</xdr:rowOff>
    </xdr:from>
    <xdr:to>
      <xdr:col>2</xdr:col>
      <xdr:colOff>952500</xdr:colOff>
      <xdr:row>101</xdr:row>
      <xdr:rowOff>0</xdr:rowOff>
    </xdr:to>
    <xdr:sp macro="" textlink="">
      <xdr:nvSpPr>
        <xdr:cNvPr id="104" name="Line 154"/>
        <xdr:cNvSpPr>
          <a:spLocks noChangeShapeType="1"/>
        </xdr:cNvSpPr>
      </xdr:nvSpPr>
      <xdr:spPr bwMode="auto">
        <a:xfrm>
          <a:off x="933450" y="1592580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</xdr:colOff>
      <xdr:row>98</xdr:row>
      <xdr:rowOff>3809</xdr:rowOff>
    </xdr:from>
    <xdr:to>
      <xdr:col>6</xdr:col>
      <xdr:colOff>7621</xdr:colOff>
      <xdr:row>100</xdr:row>
      <xdr:rowOff>152399</xdr:rowOff>
    </xdr:to>
    <xdr:sp macro="" textlink="">
      <xdr:nvSpPr>
        <xdr:cNvPr id="105" name="Line 155"/>
        <xdr:cNvSpPr>
          <a:spLocks noChangeShapeType="1"/>
        </xdr:cNvSpPr>
      </xdr:nvSpPr>
      <xdr:spPr bwMode="auto">
        <a:xfrm flipV="1">
          <a:off x="1733551" y="16051529"/>
          <a:ext cx="2045970" cy="4762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97</xdr:row>
      <xdr:rowOff>9524</xdr:rowOff>
    </xdr:from>
    <xdr:to>
      <xdr:col>4</xdr:col>
      <xdr:colOff>0</xdr:colOff>
      <xdr:row>100</xdr:row>
      <xdr:rowOff>22859</xdr:rowOff>
    </xdr:to>
    <xdr:sp macro="" textlink="">
      <xdr:nvSpPr>
        <xdr:cNvPr id="106" name="Line 156"/>
        <xdr:cNvSpPr>
          <a:spLocks noChangeShapeType="1"/>
        </xdr:cNvSpPr>
      </xdr:nvSpPr>
      <xdr:spPr bwMode="auto">
        <a:xfrm>
          <a:off x="2266950" y="15893414"/>
          <a:ext cx="0" cy="5048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371475</xdr:colOff>
      <xdr:row>99</xdr:row>
      <xdr:rowOff>28575</xdr:rowOff>
    </xdr:from>
    <xdr:to>
      <xdr:col>3</xdr:col>
      <xdr:colOff>371475</xdr:colOff>
      <xdr:row>101</xdr:row>
      <xdr:rowOff>38100</xdr:rowOff>
    </xdr:to>
    <xdr:sp macro="" textlink="">
      <xdr:nvSpPr>
        <xdr:cNvPr id="107" name="Line 157"/>
        <xdr:cNvSpPr>
          <a:spLocks noChangeShapeType="1"/>
        </xdr:cNvSpPr>
      </xdr:nvSpPr>
      <xdr:spPr bwMode="auto">
        <a:xfrm flipV="1">
          <a:off x="1304925" y="16278225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647700</xdr:colOff>
      <xdr:row>99</xdr:row>
      <xdr:rowOff>19050</xdr:rowOff>
    </xdr:from>
    <xdr:to>
      <xdr:col>4</xdr:col>
      <xdr:colOff>647700</xdr:colOff>
      <xdr:row>100</xdr:row>
      <xdr:rowOff>142875</xdr:rowOff>
    </xdr:to>
    <xdr:sp macro="" textlink="">
      <xdr:nvSpPr>
        <xdr:cNvPr id="108" name="Line 158"/>
        <xdr:cNvSpPr>
          <a:spLocks noChangeShapeType="1"/>
        </xdr:cNvSpPr>
      </xdr:nvSpPr>
      <xdr:spPr bwMode="auto">
        <a:xfrm flipV="1">
          <a:off x="2076450" y="16268700"/>
          <a:ext cx="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278130</xdr:colOff>
      <xdr:row>101</xdr:row>
      <xdr:rowOff>41910</xdr:rowOff>
    </xdr:from>
    <xdr:to>
      <xdr:col>3</xdr:col>
      <xdr:colOff>506730</xdr:colOff>
      <xdr:row>102</xdr:row>
      <xdr:rowOff>70485</xdr:rowOff>
    </xdr:to>
    <xdr:sp macro="" textlink="">
      <xdr:nvSpPr>
        <xdr:cNvPr id="109" name="Rectangle 159"/>
        <xdr:cNvSpPr>
          <a:spLocks noChangeArrowheads="1"/>
        </xdr:cNvSpPr>
      </xdr:nvSpPr>
      <xdr:spPr bwMode="auto">
        <a:xfrm>
          <a:off x="2011680" y="16581120"/>
          <a:ext cx="228600" cy="19240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ea typeface="+mn-ea"/>
              <a:cs typeface="Arial"/>
            </a:rPr>
            <a:t>R1</a:t>
          </a:r>
        </a:p>
      </xdr:txBody>
    </xdr:sp>
    <xdr:clientData/>
  </xdr:twoCellAnchor>
  <xdr:twoCellAnchor>
    <xdr:from>
      <xdr:col>4</xdr:col>
      <xdr:colOff>571500</xdr:colOff>
      <xdr:row>101</xdr:row>
      <xdr:rowOff>0</xdr:rowOff>
    </xdr:from>
    <xdr:to>
      <xdr:col>5</xdr:col>
      <xdr:colOff>76200</xdr:colOff>
      <xdr:row>102</xdr:row>
      <xdr:rowOff>57150</xdr:rowOff>
    </xdr:to>
    <xdr:sp macro="" textlink="">
      <xdr:nvSpPr>
        <xdr:cNvPr id="110" name="Rectangle 160"/>
        <xdr:cNvSpPr>
          <a:spLocks noChangeArrowheads="1"/>
        </xdr:cNvSpPr>
      </xdr:nvSpPr>
      <xdr:spPr bwMode="auto">
        <a:xfrm>
          <a:off x="2000250" y="16573500"/>
          <a:ext cx="266700" cy="2190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R2</a:t>
          </a:r>
        </a:p>
      </xdr:txBody>
    </xdr:sp>
    <xdr:clientData/>
  </xdr:twoCellAnchor>
  <xdr:twoCellAnchor>
    <xdr:from>
      <xdr:col>3</xdr:col>
      <xdr:colOff>0</xdr:colOff>
      <xdr:row>95</xdr:row>
      <xdr:rowOff>160972</xdr:rowOff>
    </xdr:from>
    <xdr:to>
      <xdr:col>4</xdr:col>
      <xdr:colOff>0</xdr:colOff>
      <xdr:row>95</xdr:row>
      <xdr:rowOff>160972</xdr:rowOff>
    </xdr:to>
    <xdr:sp macro="" textlink="">
      <xdr:nvSpPr>
        <xdr:cNvPr id="111" name="Line 161"/>
        <xdr:cNvSpPr>
          <a:spLocks noChangeShapeType="1"/>
        </xdr:cNvSpPr>
      </xdr:nvSpPr>
      <xdr:spPr bwMode="auto">
        <a:xfrm>
          <a:off x="1733550" y="15717202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1905</xdr:colOff>
      <xdr:row>96</xdr:row>
      <xdr:rowOff>4763</xdr:rowOff>
    </xdr:from>
    <xdr:to>
      <xdr:col>5</xdr:col>
      <xdr:colOff>735330</xdr:colOff>
      <xdr:row>96</xdr:row>
      <xdr:rowOff>4763</xdr:rowOff>
    </xdr:to>
    <xdr:sp macro="" textlink="">
      <xdr:nvSpPr>
        <xdr:cNvPr id="112" name="Line 162"/>
        <xdr:cNvSpPr>
          <a:spLocks noChangeShapeType="1"/>
        </xdr:cNvSpPr>
      </xdr:nvSpPr>
      <xdr:spPr bwMode="auto">
        <a:xfrm>
          <a:off x="2268855" y="15724823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733</xdr:colOff>
      <xdr:row>103</xdr:row>
      <xdr:rowOff>6595</xdr:rowOff>
    </xdr:from>
    <xdr:to>
      <xdr:col>6</xdr:col>
      <xdr:colOff>7327</xdr:colOff>
      <xdr:row>103</xdr:row>
      <xdr:rowOff>6595</xdr:rowOff>
    </xdr:to>
    <xdr:sp macro="" textlink="">
      <xdr:nvSpPr>
        <xdr:cNvPr id="113" name="Line 163"/>
        <xdr:cNvSpPr>
          <a:spLocks noChangeShapeType="1"/>
        </xdr:cNvSpPr>
      </xdr:nvSpPr>
      <xdr:spPr bwMode="auto">
        <a:xfrm>
          <a:off x="1737214" y="16602076"/>
          <a:ext cx="2043478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933450</xdr:colOff>
      <xdr:row>141</xdr:row>
      <xdr:rowOff>0</xdr:rowOff>
    </xdr:from>
    <xdr:to>
      <xdr:col>3</xdr:col>
      <xdr:colOff>742950</xdr:colOff>
      <xdr:row>141</xdr:row>
      <xdr:rowOff>0</xdr:rowOff>
    </xdr:to>
    <xdr:sp macro="" textlink="">
      <xdr:nvSpPr>
        <xdr:cNvPr id="114" name="Line 164"/>
        <xdr:cNvSpPr>
          <a:spLocks noChangeShapeType="1"/>
        </xdr:cNvSpPr>
      </xdr:nvSpPr>
      <xdr:spPr bwMode="auto">
        <a:xfrm>
          <a:off x="933450" y="227457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141</xdr:row>
      <xdr:rowOff>9525</xdr:rowOff>
    </xdr:from>
    <xdr:to>
      <xdr:col>3</xdr:col>
      <xdr:colOff>0</xdr:colOff>
      <xdr:row>143</xdr:row>
      <xdr:rowOff>0</xdr:rowOff>
    </xdr:to>
    <xdr:sp macro="" textlink="">
      <xdr:nvSpPr>
        <xdr:cNvPr id="115" name="Line 165"/>
        <xdr:cNvSpPr>
          <a:spLocks noChangeShapeType="1"/>
        </xdr:cNvSpPr>
      </xdr:nvSpPr>
      <xdr:spPr bwMode="auto">
        <a:xfrm>
          <a:off x="933450" y="2275522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952500</xdr:colOff>
      <xdr:row>143</xdr:row>
      <xdr:rowOff>19050</xdr:rowOff>
    </xdr:from>
    <xdr:to>
      <xdr:col>5</xdr:col>
      <xdr:colOff>752475</xdr:colOff>
      <xdr:row>143</xdr:row>
      <xdr:rowOff>19050</xdr:rowOff>
    </xdr:to>
    <xdr:sp macro="" textlink="">
      <xdr:nvSpPr>
        <xdr:cNvPr id="116" name="Line 166"/>
        <xdr:cNvSpPr>
          <a:spLocks noChangeShapeType="1"/>
        </xdr:cNvSpPr>
      </xdr:nvSpPr>
      <xdr:spPr bwMode="auto">
        <a:xfrm>
          <a:off x="933450" y="23117175"/>
          <a:ext cx="2000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140</xdr:row>
      <xdr:rowOff>152400</xdr:rowOff>
    </xdr:from>
    <xdr:to>
      <xdr:col>6</xdr:col>
      <xdr:colOff>0</xdr:colOff>
      <xdr:row>143</xdr:row>
      <xdr:rowOff>9525</xdr:rowOff>
    </xdr:to>
    <xdr:sp macro="" textlink="">
      <xdr:nvSpPr>
        <xdr:cNvPr id="117" name="Line 167"/>
        <xdr:cNvSpPr>
          <a:spLocks noChangeShapeType="1"/>
        </xdr:cNvSpPr>
      </xdr:nvSpPr>
      <xdr:spPr bwMode="auto">
        <a:xfrm flipV="1">
          <a:off x="2933700" y="22736175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140</xdr:row>
      <xdr:rowOff>152400</xdr:rowOff>
    </xdr:from>
    <xdr:to>
      <xdr:col>6</xdr:col>
      <xdr:colOff>19050</xdr:colOff>
      <xdr:row>141</xdr:row>
      <xdr:rowOff>9525</xdr:rowOff>
    </xdr:to>
    <xdr:sp macro="" textlink="">
      <xdr:nvSpPr>
        <xdr:cNvPr id="118" name="Line 168"/>
        <xdr:cNvSpPr>
          <a:spLocks noChangeShapeType="1"/>
        </xdr:cNvSpPr>
      </xdr:nvSpPr>
      <xdr:spPr bwMode="auto">
        <a:xfrm flipH="1">
          <a:off x="1828800" y="22736175"/>
          <a:ext cx="112395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139</xdr:row>
      <xdr:rowOff>9525</xdr:rowOff>
    </xdr:from>
    <xdr:to>
      <xdr:col>4</xdr:col>
      <xdr:colOff>0</xdr:colOff>
      <xdr:row>141</xdr:row>
      <xdr:rowOff>9525</xdr:rowOff>
    </xdr:to>
    <xdr:sp macro="" textlink="">
      <xdr:nvSpPr>
        <xdr:cNvPr id="119" name="Line 169"/>
        <xdr:cNvSpPr>
          <a:spLocks noChangeShapeType="1"/>
        </xdr:cNvSpPr>
      </xdr:nvSpPr>
      <xdr:spPr bwMode="auto">
        <a:xfrm flipV="1">
          <a:off x="1428750" y="2243137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409575</xdr:colOff>
      <xdr:row>138</xdr:row>
      <xdr:rowOff>152400</xdr:rowOff>
    </xdr:from>
    <xdr:to>
      <xdr:col>4</xdr:col>
      <xdr:colOff>409575</xdr:colOff>
      <xdr:row>141</xdr:row>
      <xdr:rowOff>9525</xdr:rowOff>
    </xdr:to>
    <xdr:sp macro="" textlink="">
      <xdr:nvSpPr>
        <xdr:cNvPr id="120" name="Line 170"/>
        <xdr:cNvSpPr>
          <a:spLocks noChangeShapeType="1"/>
        </xdr:cNvSpPr>
      </xdr:nvSpPr>
      <xdr:spPr bwMode="auto">
        <a:xfrm flipV="1">
          <a:off x="1838325" y="22412325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145</xdr:row>
      <xdr:rowOff>9525</xdr:rowOff>
    </xdr:from>
    <xdr:to>
      <xdr:col>6</xdr:col>
      <xdr:colOff>19050</xdr:colOff>
      <xdr:row>145</xdr:row>
      <xdr:rowOff>9525</xdr:rowOff>
    </xdr:to>
    <xdr:sp macro="" textlink="">
      <xdr:nvSpPr>
        <xdr:cNvPr id="121" name="Line 171"/>
        <xdr:cNvSpPr>
          <a:spLocks noChangeShapeType="1"/>
        </xdr:cNvSpPr>
      </xdr:nvSpPr>
      <xdr:spPr bwMode="auto">
        <a:xfrm>
          <a:off x="933450" y="23431500"/>
          <a:ext cx="2019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145</xdr:row>
      <xdr:rowOff>9525</xdr:rowOff>
    </xdr:from>
    <xdr:to>
      <xdr:col>6</xdr:col>
      <xdr:colOff>9525</xdr:colOff>
      <xdr:row>146</xdr:row>
      <xdr:rowOff>0</xdr:rowOff>
    </xdr:to>
    <xdr:sp macro="" textlink="">
      <xdr:nvSpPr>
        <xdr:cNvPr id="122" name="Line 172"/>
        <xdr:cNvSpPr>
          <a:spLocks noChangeShapeType="1"/>
        </xdr:cNvSpPr>
      </xdr:nvSpPr>
      <xdr:spPr bwMode="auto">
        <a:xfrm>
          <a:off x="2943225" y="23431500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952500</xdr:colOff>
      <xdr:row>145</xdr:row>
      <xdr:rowOff>0</xdr:rowOff>
    </xdr:from>
    <xdr:to>
      <xdr:col>2</xdr:col>
      <xdr:colOff>952500</xdr:colOff>
      <xdr:row>149</xdr:row>
      <xdr:rowOff>0</xdr:rowOff>
    </xdr:to>
    <xdr:sp macro="" textlink="">
      <xdr:nvSpPr>
        <xdr:cNvPr id="123" name="Line 173"/>
        <xdr:cNvSpPr>
          <a:spLocks noChangeShapeType="1"/>
        </xdr:cNvSpPr>
      </xdr:nvSpPr>
      <xdr:spPr bwMode="auto">
        <a:xfrm>
          <a:off x="933450" y="23421975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145</xdr:row>
      <xdr:rowOff>142875</xdr:rowOff>
    </xdr:from>
    <xdr:to>
      <xdr:col>6</xdr:col>
      <xdr:colOff>9525</xdr:colOff>
      <xdr:row>148</xdr:row>
      <xdr:rowOff>152400</xdr:rowOff>
    </xdr:to>
    <xdr:sp macro="" textlink="">
      <xdr:nvSpPr>
        <xdr:cNvPr id="124" name="Line 174"/>
        <xdr:cNvSpPr>
          <a:spLocks noChangeShapeType="1"/>
        </xdr:cNvSpPr>
      </xdr:nvSpPr>
      <xdr:spPr bwMode="auto">
        <a:xfrm flipV="1">
          <a:off x="933450" y="23564850"/>
          <a:ext cx="2009775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145</xdr:row>
      <xdr:rowOff>9525</xdr:rowOff>
    </xdr:from>
    <xdr:to>
      <xdr:col>4</xdr:col>
      <xdr:colOff>0</xdr:colOff>
      <xdr:row>147</xdr:row>
      <xdr:rowOff>142875</xdr:rowOff>
    </xdr:to>
    <xdr:sp macro="" textlink="">
      <xdr:nvSpPr>
        <xdr:cNvPr id="125" name="Line 175"/>
        <xdr:cNvSpPr>
          <a:spLocks noChangeShapeType="1"/>
        </xdr:cNvSpPr>
      </xdr:nvSpPr>
      <xdr:spPr bwMode="auto">
        <a:xfrm>
          <a:off x="1428750" y="23431500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144</xdr:row>
      <xdr:rowOff>9525</xdr:rowOff>
    </xdr:from>
    <xdr:to>
      <xdr:col>4</xdr:col>
      <xdr:colOff>0</xdr:colOff>
      <xdr:row>144</xdr:row>
      <xdr:rowOff>9525</xdr:rowOff>
    </xdr:to>
    <xdr:sp macro="" textlink="">
      <xdr:nvSpPr>
        <xdr:cNvPr id="126" name="Line 176"/>
        <xdr:cNvSpPr>
          <a:spLocks noChangeShapeType="1"/>
        </xdr:cNvSpPr>
      </xdr:nvSpPr>
      <xdr:spPr bwMode="auto">
        <a:xfrm>
          <a:off x="933450" y="23269575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9525</xdr:colOff>
      <xdr:row>144</xdr:row>
      <xdr:rowOff>19050</xdr:rowOff>
    </xdr:from>
    <xdr:to>
      <xdr:col>6</xdr:col>
      <xdr:colOff>0</xdr:colOff>
      <xdr:row>144</xdr:row>
      <xdr:rowOff>19050</xdr:rowOff>
    </xdr:to>
    <xdr:sp macro="" textlink="">
      <xdr:nvSpPr>
        <xdr:cNvPr id="127" name="Line 177"/>
        <xdr:cNvSpPr>
          <a:spLocks noChangeShapeType="1"/>
        </xdr:cNvSpPr>
      </xdr:nvSpPr>
      <xdr:spPr bwMode="auto">
        <a:xfrm>
          <a:off x="1438275" y="23279100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895350</xdr:colOff>
      <xdr:row>149</xdr:row>
      <xdr:rowOff>38100</xdr:rowOff>
    </xdr:from>
    <xdr:to>
      <xdr:col>5</xdr:col>
      <xdr:colOff>704850</xdr:colOff>
      <xdr:row>149</xdr:row>
      <xdr:rowOff>38100</xdr:rowOff>
    </xdr:to>
    <xdr:sp macro="" textlink="">
      <xdr:nvSpPr>
        <xdr:cNvPr id="128" name="Line 178"/>
        <xdr:cNvSpPr>
          <a:spLocks noChangeShapeType="1"/>
        </xdr:cNvSpPr>
      </xdr:nvSpPr>
      <xdr:spPr bwMode="auto">
        <a:xfrm>
          <a:off x="895350" y="24107775"/>
          <a:ext cx="2000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952500</xdr:colOff>
      <xdr:row>163</xdr:row>
      <xdr:rowOff>9525</xdr:rowOff>
    </xdr:from>
    <xdr:to>
      <xdr:col>4</xdr:col>
      <xdr:colOff>0</xdr:colOff>
      <xdr:row>163</xdr:row>
      <xdr:rowOff>9525</xdr:rowOff>
    </xdr:to>
    <xdr:sp macro="" textlink="">
      <xdr:nvSpPr>
        <xdr:cNvPr id="129" name="Line 179"/>
        <xdr:cNvSpPr>
          <a:spLocks noChangeShapeType="1"/>
        </xdr:cNvSpPr>
      </xdr:nvSpPr>
      <xdr:spPr bwMode="auto">
        <a:xfrm>
          <a:off x="933450" y="2634615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163</xdr:row>
      <xdr:rowOff>9525</xdr:rowOff>
    </xdr:from>
    <xdr:to>
      <xdr:col>3</xdr:col>
      <xdr:colOff>0</xdr:colOff>
      <xdr:row>165</xdr:row>
      <xdr:rowOff>0</xdr:rowOff>
    </xdr:to>
    <xdr:sp macro="" textlink="">
      <xdr:nvSpPr>
        <xdr:cNvPr id="130" name="Line 180"/>
        <xdr:cNvSpPr>
          <a:spLocks noChangeShapeType="1"/>
        </xdr:cNvSpPr>
      </xdr:nvSpPr>
      <xdr:spPr bwMode="auto">
        <a:xfrm>
          <a:off x="933450" y="26346150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952500</xdr:colOff>
      <xdr:row>165</xdr:row>
      <xdr:rowOff>19050</xdr:rowOff>
    </xdr:from>
    <xdr:to>
      <xdr:col>5</xdr:col>
      <xdr:colOff>752475</xdr:colOff>
      <xdr:row>165</xdr:row>
      <xdr:rowOff>19050</xdr:rowOff>
    </xdr:to>
    <xdr:sp macro="" textlink="">
      <xdr:nvSpPr>
        <xdr:cNvPr id="131" name="Line 181"/>
        <xdr:cNvSpPr>
          <a:spLocks noChangeShapeType="1"/>
        </xdr:cNvSpPr>
      </xdr:nvSpPr>
      <xdr:spPr bwMode="auto">
        <a:xfrm>
          <a:off x="933450" y="26708100"/>
          <a:ext cx="2000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0</xdr:colOff>
      <xdr:row>162</xdr:row>
      <xdr:rowOff>152400</xdr:rowOff>
    </xdr:from>
    <xdr:to>
      <xdr:col>6</xdr:col>
      <xdr:colOff>0</xdr:colOff>
      <xdr:row>165</xdr:row>
      <xdr:rowOff>9525</xdr:rowOff>
    </xdr:to>
    <xdr:sp macro="" textlink="">
      <xdr:nvSpPr>
        <xdr:cNvPr id="132" name="Line 182"/>
        <xdr:cNvSpPr>
          <a:spLocks noChangeShapeType="1"/>
        </xdr:cNvSpPr>
      </xdr:nvSpPr>
      <xdr:spPr bwMode="auto">
        <a:xfrm flipV="1">
          <a:off x="2933700" y="26327100"/>
          <a:ext cx="0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400050</xdr:colOff>
      <xdr:row>162</xdr:row>
      <xdr:rowOff>152400</xdr:rowOff>
    </xdr:from>
    <xdr:to>
      <xdr:col>6</xdr:col>
      <xdr:colOff>19050</xdr:colOff>
      <xdr:row>163</xdr:row>
      <xdr:rowOff>9525</xdr:rowOff>
    </xdr:to>
    <xdr:sp macro="" textlink="">
      <xdr:nvSpPr>
        <xdr:cNvPr id="133" name="Line 183"/>
        <xdr:cNvSpPr>
          <a:spLocks noChangeShapeType="1"/>
        </xdr:cNvSpPr>
      </xdr:nvSpPr>
      <xdr:spPr bwMode="auto">
        <a:xfrm flipH="1">
          <a:off x="1828800" y="26327100"/>
          <a:ext cx="112395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161</xdr:row>
      <xdr:rowOff>9525</xdr:rowOff>
    </xdr:from>
    <xdr:to>
      <xdr:col>4</xdr:col>
      <xdr:colOff>0</xdr:colOff>
      <xdr:row>163</xdr:row>
      <xdr:rowOff>9525</xdr:rowOff>
    </xdr:to>
    <xdr:sp macro="" textlink="">
      <xdr:nvSpPr>
        <xdr:cNvPr id="134" name="Line 184"/>
        <xdr:cNvSpPr>
          <a:spLocks noChangeShapeType="1"/>
        </xdr:cNvSpPr>
      </xdr:nvSpPr>
      <xdr:spPr bwMode="auto">
        <a:xfrm flipV="1">
          <a:off x="1428750" y="260223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409575</xdr:colOff>
      <xdr:row>160</xdr:row>
      <xdr:rowOff>152400</xdr:rowOff>
    </xdr:from>
    <xdr:to>
      <xdr:col>4</xdr:col>
      <xdr:colOff>409575</xdr:colOff>
      <xdr:row>163</xdr:row>
      <xdr:rowOff>9525</xdr:rowOff>
    </xdr:to>
    <xdr:sp macro="" textlink="">
      <xdr:nvSpPr>
        <xdr:cNvPr id="135" name="Line 185"/>
        <xdr:cNvSpPr>
          <a:spLocks noChangeShapeType="1"/>
        </xdr:cNvSpPr>
      </xdr:nvSpPr>
      <xdr:spPr bwMode="auto">
        <a:xfrm flipV="1">
          <a:off x="1838325" y="26003250"/>
          <a:ext cx="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167</xdr:row>
      <xdr:rowOff>9525</xdr:rowOff>
    </xdr:from>
    <xdr:to>
      <xdr:col>6</xdr:col>
      <xdr:colOff>19050</xdr:colOff>
      <xdr:row>167</xdr:row>
      <xdr:rowOff>9525</xdr:rowOff>
    </xdr:to>
    <xdr:sp macro="" textlink="">
      <xdr:nvSpPr>
        <xdr:cNvPr id="136" name="Line 186"/>
        <xdr:cNvSpPr>
          <a:spLocks noChangeShapeType="1"/>
        </xdr:cNvSpPr>
      </xdr:nvSpPr>
      <xdr:spPr bwMode="auto">
        <a:xfrm>
          <a:off x="933450" y="27022425"/>
          <a:ext cx="2019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9525</xdr:colOff>
      <xdr:row>167</xdr:row>
      <xdr:rowOff>9525</xdr:rowOff>
    </xdr:from>
    <xdr:to>
      <xdr:col>6</xdr:col>
      <xdr:colOff>9525</xdr:colOff>
      <xdr:row>168</xdr:row>
      <xdr:rowOff>0</xdr:rowOff>
    </xdr:to>
    <xdr:sp macro="" textlink="">
      <xdr:nvSpPr>
        <xdr:cNvPr id="137" name="Line 187"/>
        <xdr:cNvSpPr>
          <a:spLocks noChangeShapeType="1"/>
        </xdr:cNvSpPr>
      </xdr:nvSpPr>
      <xdr:spPr bwMode="auto">
        <a:xfrm>
          <a:off x="2943225" y="27022425"/>
          <a:ext cx="0" cy="1524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952500</xdr:colOff>
      <xdr:row>167</xdr:row>
      <xdr:rowOff>0</xdr:rowOff>
    </xdr:from>
    <xdr:to>
      <xdr:col>2</xdr:col>
      <xdr:colOff>952500</xdr:colOff>
      <xdr:row>171</xdr:row>
      <xdr:rowOff>0</xdr:rowOff>
    </xdr:to>
    <xdr:sp macro="" textlink="">
      <xdr:nvSpPr>
        <xdr:cNvPr id="138" name="Line 188"/>
        <xdr:cNvSpPr>
          <a:spLocks noChangeShapeType="1"/>
        </xdr:cNvSpPr>
      </xdr:nvSpPr>
      <xdr:spPr bwMode="auto">
        <a:xfrm>
          <a:off x="933450" y="27012900"/>
          <a:ext cx="0" cy="647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167</xdr:row>
      <xdr:rowOff>142875</xdr:rowOff>
    </xdr:from>
    <xdr:to>
      <xdr:col>6</xdr:col>
      <xdr:colOff>9525</xdr:colOff>
      <xdr:row>170</xdr:row>
      <xdr:rowOff>152400</xdr:rowOff>
    </xdr:to>
    <xdr:sp macro="" textlink="">
      <xdr:nvSpPr>
        <xdr:cNvPr id="139" name="Line 189"/>
        <xdr:cNvSpPr>
          <a:spLocks noChangeShapeType="1"/>
        </xdr:cNvSpPr>
      </xdr:nvSpPr>
      <xdr:spPr bwMode="auto">
        <a:xfrm flipV="1">
          <a:off x="933450" y="27155775"/>
          <a:ext cx="2009775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166</xdr:row>
      <xdr:rowOff>9525</xdr:rowOff>
    </xdr:from>
    <xdr:to>
      <xdr:col>4</xdr:col>
      <xdr:colOff>0</xdr:colOff>
      <xdr:row>166</xdr:row>
      <xdr:rowOff>9525</xdr:rowOff>
    </xdr:to>
    <xdr:sp macro="" textlink="">
      <xdr:nvSpPr>
        <xdr:cNvPr id="140" name="Line 190"/>
        <xdr:cNvSpPr>
          <a:spLocks noChangeShapeType="1"/>
        </xdr:cNvSpPr>
      </xdr:nvSpPr>
      <xdr:spPr bwMode="auto">
        <a:xfrm>
          <a:off x="933450" y="2686050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9525</xdr:colOff>
      <xdr:row>166</xdr:row>
      <xdr:rowOff>19050</xdr:rowOff>
    </xdr:from>
    <xdr:to>
      <xdr:col>6</xdr:col>
      <xdr:colOff>0</xdr:colOff>
      <xdr:row>166</xdr:row>
      <xdr:rowOff>19050</xdr:rowOff>
    </xdr:to>
    <xdr:sp macro="" textlink="">
      <xdr:nvSpPr>
        <xdr:cNvPr id="141" name="Line 191"/>
        <xdr:cNvSpPr>
          <a:spLocks noChangeShapeType="1"/>
        </xdr:cNvSpPr>
      </xdr:nvSpPr>
      <xdr:spPr bwMode="auto">
        <a:xfrm>
          <a:off x="1438275" y="26870025"/>
          <a:ext cx="1495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923925</xdr:colOff>
      <xdr:row>171</xdr:row>
      <xdr:rowOff>95250</xdr:rowOff>
    </xdr:from>
    <xdr:to>
      <xdr:col>5</xdr:col>
      <xdr:colOff>733425</xdr:colOff>
      <xdr:row>171</xdr:row>
      <xdr:rowOff>95250</xdr:rowOff>
    </xdr:to>
    <xdr:sp macro="" textlink="">
      <xdr:nvSpPr>
        <xdr:cNvPr id="142" name="Line 192"/>
        <xdr:cNvSpPr>
          <a:spLocks noChangeShapeType="1"/>
        </xdr:cNvSpPr>
      </xdr:nvSpPr>
      <xdr:spPr bwMode="auto">
        <a:xfrm>
          <a:off x="923925" y="27755850"/>
          <a:ext cx="2000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419100</xdr:colOff>
      <xdr:row>167</xdr:row>
      <xdr:rowOff>9525</xdr:rowOff>
    </xdr:from>
    <xdr:to>
      <xdr:col>4</xdr:col>
      <xdr:colOff>419100</xdr:colOff>
      <xdr:row>169</xdr:row>
      <xdr:rowOff>66675</xdr:rowOff>
    </xdr:to>
    <xdr:sp macro="" textlink="">
      <xdr:nvSpPr>
        <xdr:cNvPr id="143" name="Line 193"/>
        <xdr:cNvSpPr>
          <a:spLocks noChangeShapeType="1"/>
        </xdr:cNvSpPr>
      </xdr:nvSpPr>
      <xdr:spPr bwMode="auto">
        <a:xfrm>
          <a:off x="1847850" y="27022425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428625</xdr:colOff>
      <xdr:row>170</xdr:row>
      <xdr:rowOff>0</xdr:rowOff>
    </xdr:from>
    <xdr:to>
      <xdr:col>6</xdr:col>
      <xdr:colOff>0</xdr:colOff>
      <xdr:row>170</xdr:row>
      <xdr:rowOff>0</xdr:rowOff>
    </xdr:to>
    <xdr:sp macro="" textlink="">
      <xdr:nvSpPr>
        <xdr:cNvPr id="144" name="Line 194"/>
        <xdr:cNvSpPr>
          <a:spLocks noChangeShapeType="1"/>
        </xdr:cNvSpPr>
      </xdr:nvSpPr>
      <xdr:spPr bwMode="auto">
        <a:xfrm>
          <a:off x="1857375" y="27498675"/>
          <a:ext cx="1076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0</xdr:colOff>
      <xdr:row>163</xdr:row>
      <xdr:rowOff>9525</xdr:rowOff>
    </xdr:from>
    <xdr:to>
      <xdr:col>4</xdr:col>
      <xdr:colOff>400050</xdr:colOff>
      <xdr:row>163</xdr:row>
      <xdr:rowOff>9525</xdr:rowOff>
    </xdr:to>
    <xdr:sp macro="" textlink="">
      <xdr:nvSpPr>
        <xdr:cNvPr id="145" name="Line 195"/>
        <xdr:cNvSpPr>
          <a:spLocks noChangeShapeType="1"/>
        </xdr:cNvSpPr>
      </xdr:nvSpPr>
      <xdr:spPr bwMode="auto">
        <a:xfrm>
          <a:off x="1428750" y="2634615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5</xdr:col>
      <xdr:colOff>285750</xdr:colOff>
      <xdr:row>160</xdr:row>
      <xdr:rowOff>95250</xdr:rowOff>
    </xdr:from>
    <xdr:to>
      <xdr:col>5</xdr:col>
      <xdr:colOff>285750</xdr:colOff>
      <xdr:row>162</xdr:row>
      <xdr:rowOff>0</xdr:rowOff>
    </xdr:to>
    <xdr:sp macro="" textlink="">
      <xdr:nvSpPr>
        <xdr:cNvPr id="146" name="Line 198"/>
        <xdr:cNvSpPr>
          <a:spLocks noChangeShapeType="1"/>
        </xdr:cNvSpPr>
      </xdr:nvSpPr>
      <xdr:spPr bwMode="auto">
        <a:xfrm>
          <a:off x="2476500" y="25946100"/>
          <a:ext cx="0" cy="228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238125</xdr:colOff>
      <xdr:row>159</xdr:row>
      <xdr:rowOff>76200</xdr:rowOff>
    </xdr:from>
    <xdr:to>
      <xdr:col>5</xdr:col>
      <xdr:colOff>447675</xdr:colOff>
      <xdr:row>160</xdr:row>
      <xdr:rowOff>95250</xdr:rowOff>
    </xdr:to>
    <xdr:sp macro="" textlink="">
      <xdr:nvSpPr>
        <xdr:cNvPr id="147" name="Rectangle 199"/>
        <xdr:cNvSpPr>
          <a:spLocks noChangeArrowheads="1"/>
        </xdr:cNvSpPr>
      </xdr:nvSpPr>
      <xdr:spPr bwMode="auto">
        <a:xfrm>
          <a:off x="2428875" y="25765125"/>
          <a:ext cx="2095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p6</a:t>
          </a:r>
        </a:p>
      </xdr:txBody>
    </xdr:sp>
    <xdr:clientData/>
  </xdr:twoCellAnchor>
  <xdr:twoCellAnchor>
    <xdr:from>
      <xdr:col>5</xdr:col>
      <xdr:colOff>276225</xdr:colOff>
      <xdr:row>163</xdr:row>
      <xdr:rowOff>57150</xdr:rowOff>
    </xdr:from>
    <xdr:to>
      <xdr:col>5</xdr:col>
      <xdr:colOff>276225</xdr:colOff>
      <xdr:row>164</xdr:row>
      <xdr:rowOff>104775</xdr:rowOff>
    </xdr:to>
    <xdr:sp macro="" textlink="">
      <xdr:nvSpPr>
        <xdr:cNvPr id="148" name="Line 200"/>
        <xdr:cNvSpPr>
          <a:spLocks noChangeShapeType="1"/>
        </xdr:cNvSpPr>
      </xdr:nvSpPr>
      <xdr:spPr bwMode="auto">
        <a:xfrm>
          <a:off x="2466975" y="26393775"/>
          <a:ext cx="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419100</xdr:colOff>
      <xdr:row>163</xdr:row>
      <xdr:rowOff>76200</xdr:rowOff>
    </xdr:from>
    <xdr:to>
      <xdr:col>5</xdr:col>
      <xdr:colOff>628650</xdr:colOff>
      <xdr:row>164</xdr:row>
      <xdr:rowOff>85725</xdr:rowOff>
    </xdr:to>
    <xdr:sp macro="" textlink="">
      <xdr:nvSpPr>
        <xdr:cNvPr id="149" name="Rectangle 201"/>
        <xdr:cNvSpPr>
          <a:spLocks noChangeArrowheads="1"/>
        </xdr:cNvSpPr>
      </xdr:nvSpPr>
      <xdr:spPr bwMode="auto">
        <a:xfrm>
          <a:off x="2609850" y="26412825"/>
          <a:ext cx="209550" cy="1714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pp</a:t>
          </a:r>
        </a:p>
      </xdr:txBody>
    </xdr:sp>
    <xdr:clientData/>
  </xdr:twoCellAnchor>
  <xdr:twoCellAnchor>
    <xdr:from>
      <xdr:col>2</xdr:col>
      <xdr:colOff>804183</xdr:colOff>
      <xdr:row>61</xdr:row>
      <xdr:rowOff>27214</xdr:rowOff>
    </xdr:from>
    <xdr:to>
      <xdr:col>2</xdr:col>
      <xdr:colOff>804863</xdr:colOff>
      <xdr:row>62</xdr:row>
      <xdr:rowOff>78921</xdr:rowOff>
    </xdr:to>
    <xdr:sp macro="" textlink="">
      <xdr:nvSpPr>
        <xdr:cNvPr id="150" name="Line 202"/>
        <xdr:cNvSpPr>
          <a:spLocks noChangeShapeType="1"/>
        </xdr:cNvSpPr>
      </xdr:nvSpPr>
      <xdr:spPr bwMode="auto">
        <a:xfrm>
          <a:off x="1607004" y="10106705"/>
          <a:ext cx="680" cy="21499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697366</xdr:colOff>
      <xdr:row>59</xdr:row>
      <xdr:rowOff>149678</xdr:rowOff>
    </xdr:from>
    <xdr:to>
      <xdr:col>2</xdr:col>
      <xdr:colOff>906916</xdr:colOff>
      <xdr:row>60</xdr:row>
      <xdr:rowOff>146277</xdr:rowOff>
    </xdr:to>
    <xdr:sp macro="" textlink="">
      <xdr:nvSpPr>
        <xdr:cNvPr id="151" name="Rectangle 203"/>
        <xdr:cNvSpPr>
          <a:spLocks noChangeArrowheads="1"/>
        </xdr:cNvSpPr>
      </xdr:nvSpPr>
      <xdr:spPr bwMode="auto">
        <a:xfrm>
          <a:off x="1500187" y="9902598"/>
          <a:ext cx="209550" cy="159884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marL="0" indent="0" algn="l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 Narrow" panose="020B0606020202030204" pitchFamily="34" charset="0"/>
              <a:ea typeface="+mn-ea"/>
              <a:cs typeface="Arial"/>
            </a:rPr>
            <a:t>P7</a:t>
          </a:r>
        </a:p>
      </xdr:txBody>
    </xdr:sp>
    <xdr:clientData/>
  </xdr:twoCellAnchor>
  <xdr:twoCellAnchor>
    <xdr:from>
      <xdr:col>2</xdr:col>
      <xdr:colOff>931409</xdr:colOff>
      <xdr:row>191</xdr:row>
      <xdr:rowOff>2723</xdr:rowOff>
    </xdr:from>
    <xdr:to>
      <xdr:col>2</xdr:col>
      <xdr:colOff>931409</xdr:colOff>
      <xdr:row>203</xdr:row>
      <xdr:rowOff>3403</xdr:rowOff>
    </xdr:to>
    <xdr:sp macro="" textlink="">
      <xdr:nvSpPr>
        <xdr:cNvPr id="152" name="Line 204"/>
        <xdr:cNvSpPr>
          <a:spLocks noChangeShapeType="1"/>
        </xdr:cNvSpPr>
      </xdr:nvSpPr>
      <xdr:spPr bwMode="auto">
        <a:xfrm>
          <a:off x="1734230" y="31285544"/>
          <a:ext cx="0" cy="197371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209550</xdr:colOff>
      <xdr:row>203</xdr:row>
      <xdr:rowOff>2722</xdr:rowOff>
    </xdr:from>
    <xdr:to>
      <xdr:col>3</xdr:col>
      <xdr:colOff>0</xdr:colOff>
      <xdr:row>203</xdr:row>
      <xdr:rowOff>2722</xdr:rowOff>
    </xdr:to>
    <xdr:sp macro="" textlink="">
      <xdr:nvSpPr>
        <xdr:cNvPr id="153" name="Line 205"/>
        <xdr:cNvSpPr>
          <a:spLocks noChangeShapeType="1"/>
        </xdr:cNvSpPr>
      </xdr:nvSpPr>
      <xdr:spPr bwMode="auto">
        <a:xfrm flipH="1">
          <a:off x="1012371" y="33258579"/>
          <a:ext cx="72254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212951</xdr:colOff>
      <xdr:row>203</xdr:row>
      <xdr:rowOff>3402</xdr:rowOff>
    </xdr:from>
    <xdr:to>
      <xdr:col>2</xdr:col>
      <xdr:colOff>212951</xdr:colOff>
      <xdr:row>205</xdr:row>
      <xdr:rowOff>3402</xdr:rowOff>
    </xdr:to>
    <xdr:sp macro="" textlink="">
      <xdr:nvSpPr>
        <xdr:cNvPr id="154" name="Line 206"/>
        <xdr:cNvSpPr>
          <a:spLocks noChangeShapeType="1"/>
        </xdr:cNvSpPr>
      </xdr:nvSpPr>
      <xdr:spPr bwMode="auto">
        <a:xfrm>
          <a:off x="1015772" y="33259259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3402</xdr:colOff>
      <xdr:row>202</xdr:row>
      <xdr:rowOff>162605</xdr:rowOff>
    </xdr:from>
    <xdr:to>
      <xdr:col>5</xdr:col>
      <xdr:colOff>3403</xdr:colOff>
      <xdr:row>205</xdr:row>
      <xdr:rowOff>6803</xdr:rowOff>
    </xdr:to>
    <xdr:sp macro="" textlink="">
      <xdr:nvSpPr>
        <xdr:cNvPr id="155" name="Line 207"/>
        <xdr:cNvSpPr>
          <a:spLocks noChangeShapeType="1"/>
        </xdr:cNvSpPr>
      </xdr:nvSpPr>
      <xdr:spPr bwMode="auto">
        <a:xfrm flipH="1">
          <a:off x="3034393" y="33255176"/>
          <a:ext cx="1" cy="347663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209550</xdr:colOff>
      <xdr:row>201</xdr:row>
      <xdr:rowOff>1</xdr:rowOff>
    </xdr:from>
    <xdr:to>
      <xdr:col>3</xdr:col>
      <xdr:colOff>10205</xdr:colOff>
      <xdr:row>201</xdr:row>
      <xdr:rowOff>3403</xdr:rowOff>
    </xdr:to>
    <xdr:sp macro="" textlink="">
      <xdr:nvSpPr>
        <xdr:cNvPr id="159" name="Line 216"/>
        <xdr:cNvSpPr>
          <a:spLocks noChangeShapeType="1"/>
        </xdr:cNvSpPr>
      </xdr:nvSpPr>
      <xdr:spPr bwMode="auto">
        <a:xfrm>
          <a:off x="1012371" y="32929287"/>
          <a:ext cx="732745" cy="340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190500</xdr:colOff>
      <xdr:row>203</xdr:row>
      <xdr:rowOff>9525</xdr:rowOff>
    </xdr:from>
    <xdr:to>
      <xdr:col>5</xdr:col>
      <xdr:colOff>190500</xdr:colOff>
      <xdr:row>204</xdr:row>
      <xdr:rowOff>152400</xdr:rowOff>
    </xdr:to>
    <xdr:sp macro="" textlink="">
      <xdr:nvSpPr>
        <xdr:cNvPr id="160" name="Line 218"/>
        <xdr:cNvSpPr>
          <a:spLocks noChangeShapeType="1"/>
        </xdr:cNvSpPr>
      </xdr:nvSpPr>
      <xdr:spPr bwMode="auto">
        <a:xfrm>
          <a:off x="2381250" y="32737425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114300</xdr:colOff>
      <xdr:row>191</xdr:row>
      <xdr:rowOff>76200</xdr:rowOff>
    </xdr:from>
    <xdr:to>
      <xdr:col>2</xdr:col>
      <xdr:colOff>123825</xdr:colOff>
      <xdr:row>205</xdr:row>
      <xdr:rowOff>76200</xdr:rowOff>
    </xdr:to>
    <xdr:sp macro="" textlink="">
      <xdr:nvSpPr>
        <xdr:cNvPr id="161" name="Line 219"/>
        <xdr:cNvSpPr>
          <a:spLocks noChangeShapeType="1"/>
        </xdr:cNvSpPr>
      </xdr:nvSpPr>
      <xdr:spPr bwMode="auto">
        <a:xfrm flipH="1">
          <a:off x="114300" y="30841950"/>
          <a:ext cx="9525" cy="23050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261937</xdr:colOff>
      <xdr:row>205</xdr:row>
      <xdr:rowOff>161926</xdr:rowOff>
    </xdr:from>
    <xdr:to>
      <xdr:col>5</xdr:col>
      <xdr:colOff>6123</xdr:colOff>
      <xdr:row>206</xdr:row>
      <xdr:rowOff>0</xdr:rowOff>
    </xdr:to>
    <xdr:sp macro="" textlink="">
      <xdr:nvSpPr>
        <xdr:cNvPr id="162" name="Line 220"/>
        <xdr:cNvSpPr>
          <a:spLocks noChangeShapeType="1"/>
        </xdr:cNvSpPr>
      </xdr:nvSpPr>
      <xdr:spPr bwMode="auto">
        <a:xfrm flipV="1">
          <a:off x="1996848" y="33751158"/>
          <a:ext cx="1040266" cy="136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202065</xdr:colOff>
      <xdr:row>207</xdr:row>
      <xdr:rowOff>2721</xdr:rowOff>
    </xdr:from>
    <xdr:to>
      <xdr:col>4</xdr:col>
      <xdr:colOff>751794</xdr:colOff>
      <xdr:row>207</xdr:row>
      <xdr:rowOff>3401</xdr:rowOff>
    </xdr:to>
    <xdr:sp macro="" textlink="">
      <xdr:nvSpPr>
        <xdr:cNvPr id="163" name="Line 221"/>
        <xdr:cNvSpPr>
          <a:spLocks noChangeShapeType="1"/>
        </xdr:cNvSpPr>
      </xdr:nvSpPr>
      <xdr:spPr bwMode="auto">
        <a:xfrm>
          <a:off x="1004886" y="33918525"/>
          <a:ext cx="2015899" cy="68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628650</xdr:colOff>
      <xdr:row>201</xdr:row>
      <xdr:rowOff>9525</xdr:rowOff>
    </xdr:from>
    <xdr:to>
      <xdr:col>2</xdr:col>
      <xdr:colOff>628650</xdr:colOff>
      <xdr:row>202</xdr:row>
      <xdr:rowOff>142875</xdr:rowOff>
    </xdr:to>
    <xdr:sp macro="" textlink="">
      <xdr:nvSpPr>
        <xdr:cNvPr id="164" name="Line 222"/>
        <xdr:cNvSpPr>
          <a:spLocks noChangeShapeType="1"/>
        </xdr:cNvSpPr>
      </xdr:nvSpPr>
      <xdr:spPr bwMode="auto">
        <a:xfrm>
          <a:off x="628650" y="32413575"/>
          <a:ext cx="0" cy="2952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928008</xdr:colOff>
      <xdr:row>191</xdr:row>
      <xdr:rowOff>6123</xdr:rowOff>
    </xdr:from>
    <xdr:to>
      <xdr:col>3</xdr:col>
      <xdr:colOff>281668</xdr:colOff>
      <xdr:row>191</xdr:row>
      <xdr:rowOff>6123</xdr:rowOff>
    </xdr:to>
    <xdr:sp macro="" textlink="">
      <xdr:nvSpPr>
        <xdr:cNvPr id="165" name="Line 224"/>
        <xdr:cNvSpPr>
          <a:spLocks noChangeShapeType="1"/>
        </xdr:cNvSpPr>
      </xdr:nvSpPr>
      <xdr:spPr bwMode="auto">
        <a:xfrm>
          <a:off x="1730829" y="31288944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195943</xdr:colOff>
      <xdr:row>206</xdr:row>
      <xdr:rowOff>0</xdr:rowOff>
    </xdr:from>
    <xdr:to>
      <xdr:col>3</xdr:col>
      <xdr:colOff>3401</xdr:colOff>
      <xdr:row>206</xdr:row>
      <xdr:rowOff>6803</xdr:rowOff>
    </xdr:to>
    <xdr:sp macro="" textlink="">
      <xdr:nvSpPr>
        <xdr:cNvPr id="166" name="Line 225"/>
        <xdr:cNvSpPr>
          <a:spLocks noChangeShapeType="1"/>
        </xdr:cNvSpPr>
      </xdr:nvSpPr>
      <xdr:spPr bwMode="auto">
        <a:xfrm flipV="1">
          <a:off x="998764" y="33752518"/>
          <a:ext cx="739548" cy="6803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200705</xdr:colOff>
      <xdr:row>202</xdr:row>
      <xdr:rowOff>6803</xdr:rowOff>
    </xdr:from>
    <xdr:to>
      <xdr:col>4</xdr:col>
      <xdr:colOff>336777</xdr:colOff>
      <xdr:row>203</xdr:row>
      <xdr:rowOff>64633</xdr:rowOff>
    </xdr:to>
    <xdr:sp macro="" textlink="">
      <xdr:nvSpPr>
        <xdr:cNvPr id="176" name="Line 244"/>
        <xdr:cNvSpPr>
          <a:spLocks noChangeShapeType="1"/>
        </xdr:cNvSpPr>
      </xdr:nvSpPr>
      <xdr:spPr bwMode="auto">
        <a:xfrm flipV="1">
          <a:off x="2469696" y="33099374"/>
          <a:ext cx="136072" cy="22111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228600</xdr:colOff>
      <xdr:row>194</xdr:row>
      <xdr:rowOff>88446</xdr:rowOff>
    </xdr:from>
    <xdr:to>
      <xdr:col>3</xdr:col>
      <xdr:colOff>530678</xdr:colOff>
      <xdr:row>196</xdr:row>
      <xdr:rowOff>114300</xdr:rowOff>
    </xdr:to>
    <xdr:sp macro="" textlink="">
      <xdr:nvSpPr>
        <xdr:cNvPr id="179" name="Line 251"/>
        <xdr:cNvSpPr>
          <a:spLocks noChangeShapeType="1"/>
        </xdr:cNvSpPr>
      </xdr:nvSpPr>
      <xdr:spPr bwMode="auto">
        <a:xfrm flipV="1">
          <a:off x="1963511" y="31861125"/>
          <a:ext cx="302078" cy="35922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60550</xdr:colOff>
      <xdr:row>192</xdr:row>
      <xdr:rowOff>95250</xdr:rowOff>
    </xdr:from>
    <xdr:to>
      <xdr:col>3</xdr:col>
      <xdr:colOff>530677</xdr:colOff>
      <xdr:row>195</xdr:row>
      <xdr:rowOff>48304</xdr:rowOff>
    </xdr:to>
    <xdr:sp macro="" textlink="">
      <xdr:nvSpPr>
        <xdr:cNvPr id="180" name="Line 252"/>
        <xdr:cNvSpPr>
          <a:spLocks noChangeShapeType="1"/>
        </xdr:cNvSpPr>
      </xdr:nvSpPr>
      <xdr:spPr bwMode="auto">
        <a:xfrm flipV="1">
          <a:off x="1795461" y="31541357"/>
          <a:ext cx="470127" cy="44291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290959</xdr:colOff>
      <xdr:row>8</xdr:row>
      <xdr:rowOff>9072</xdr:rowOff>
    </xdr:from>
    <xdr:to>
      <xdr:col>3</xdr:col>
      <xdr:colOff>293686</xdr:colOff>
      <xdr:row>20</xdr:row>
      <xdr:rowOff>2646</xdr:rowOff>
    </xdr:to>
    <xdr:sp macro="" textlink="">
      <xdr:nvSpPr>
        <xdr:cNvPr id="188" name="Line 1"/>
        <xdr:cNvSpPr>
          <a:spLocks noChangeShapeType="1"/>
        </xdr:cNvSpPr>
      </xdr:nvSpPr>
      <xdr:spPr bwMode="auto">
        <a:xfrm>
          <a:off x="2023980" y="1101801"/>
          <a:ext cx="2727" cy="201234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46264</xdr:colOff>
      <xdr:row>191</xdr:row>
      <xdr:rowOff>61232</xdr:rowOff>
    </xdr:from>
    <xdr:to>
      <xdr:col>3</xdr:col>
      <xdr:colOff>46264</xdr:colOff>
      <xdr:row>203</xdr:row>
      <xdr:rowOff>51027</xdr:rowOff>
    </xdr:to>
    <xdr:sp macro="" textlink="">
      <xdr:nvSpPr>
        <xdr:cNvPr id="193" name="Line 204"/>
        <xdr:cNvSpPr>
          <a:spLocks noChangeShapeType="1"/>
        </xdr:cNvSpPr>
      </xdr:nvSpPr>
      <xdr:spPr bwMode="auto">
        <a:xfrm>
          <a:off x="1781175" y="31344053"/>
          <a:ext cx="0" cy="196283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190</xdr:row>
      <xdr:rowOff>161924</xdr:rowOff>
    </xdr:from>
    <xdr:to>
      <xdr:col>3</xdr:col>
      <xdr:colOff>276225</xdr:colOff>
      <xdr:row>203</xdr:row>
      <xdr:rowOff>8164</xdr:rowOff>
    </xdr:to>
    <xdr:sp macro="" textlink="">
      <xdr:nvSpPr>
        <xdr:cNvPr id="194" name="Line 204"/>
        <xdr:cNvSpPr>
          <a:spLocks noChangeShapeType="1"/>
        </xdr:cNvSpPr>
      </xdr:nvSpPr>
      <xdr:spPr bwMode="auto">
        <a:xfrm>
          <a:off x="2011136" y="31281460"/>
          <a:ext cx="0" cy="198256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274183</xdr:colOff>
      <xdr:row>203</xdr:row>
      <xdr:rowOff>6123</xdr:rowOff>
    </xdr:from>
    <xdr:to>
      <xdr:col>5</xdr:col>
      <xdr:colOff>6803</xdr:colOff>
      <xdr:row>203</xdr:row>
      <xdr:rowOff>6123</xdr:rowOff>
    </xdr:to>
    <xdr:sp macro="" textlink="">
      <xdr:nvSpPr>
        <xdr:cNvPr id="195" name="Line 205"/>
        <xdr:cNvSpPr>
          <a:spLocks noChangeShapeType="1"/>
        </xdr:cNvSpPr>
      </xdr:nvSpPr>
      <xdr:spPr bwMode="auto">
        <a:xfrm flipH="1">
          <a:off x="2009094" y="33261980"/>
          <a:ext cx="10287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219075</xdr:colOff>
      <xdr:row>191</xdr:row>
      <xdr:rowOff>67355</xdr:rowOff>
    </xdr:from>
    <xdr:to>
      <xdr:col>3</xdr:col>
      <xdr:colOff>219075</xdr:colOff>
      <xdr:row>203</xdr:row>
      <xdr:rowOff>57831</xdr:rowOff>
    </xdr:to>
    <xdr:sp macro="" textlink="">
      <xdr:nvSpPr>
        <xdr:cNvPr id="196" name="Line 204"/>
        <xdr:cNvSpPr>
          <a:spLocks noChangeShapeType="1"/>
        </xdr:cNvSpPr>
      </xdr:nvSpPr>
      <xdr:spPr bwMode="auto">
        <a:xfrm>
          <a:off x="1953986" y="31350176"/>
          <a:ext cx="0" cy="196351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190500</xdr:colOff>
      <xdr:row>141</xdr:row>
      <xdr:rowOff>9525</xdr:rowOff>
    </xdr:from>
    <xdr:to>
      <xdr:col>2</xdr:col>
      <xdr:colOff>190500</xdr:colOff>
      <xdr:row>142</xdr:row>
      <xdr:rowOff>152400</xdr:rowOff>
    </xdr:to>
    <xdr:sp macro="" textlink="">
      <xdr:nvSpPr>
        <xdr:cNvPr id="202" name="Line 107"/>
        <xdr:cNvSpPr>
          <a:spLocks noChangeShapeType="1"/>
        </xdr:cNvSpPr>
      </xdr:nvSpPr>
      <xdr:spPr bwMode="auto">
        <a:xfrm>
          <a:off x="190500" y="22755225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190500</xdr:colOff>
      <xdr:row>163</xdr:row>
      <xdr:rowOff>9525</xdr:rowOff>
    </xdr:from>
    <xdr:to>
      <xdr:col>2</xdr:col>
      <xdr:colOff>190500</xdr:colOff>
      <xdr:row>164</xdr:row>
      <xdr:rowOff>152400</xdr:rowOff>
    </xdr:to>
    <xdr:sp macro="" textlink="">
      <xdr:nvSpPr>
        <xdr:cNvPr id="203" name="Line 107"/>
        <xdr:cNvSpPr>
          <a:spLocks noChangeShapeType="1"/>
        </xdr:cNvSpPr>
      </xdr:nvSpPr>
      <xdr:spPr bwMode="auto">
        <a:xfrm>
          <a:off x="190500" y="26346150"/>
          <a:ext cx="0" cy="3048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0</xdr:colOff>
      <xdr:row>20</xdr:row>
      <xdr:rowOff>57150</xdr:rowOff>
    </xdr:from>
    <xdr:to>
      <xdr:col>3</xdr:col>
      <xdr:colOff>285750</xdr:colOff>
      <xdr:row>20</xdr:row>
      <xdr:rowOff>57150</xdr:rowOff>
    </xdr:to>
    <xdr:sp macro="" textlink="">
      <xdr:nvSpPr>
        <xdr:cNvPr id="205" name="Line 71"/>
        <xdr:cNvSpPr>
          <a:spLocks noChangeShapeType="1"/>
        </xdr:cNvSpPr>
      </xdr:nvSpPr>
      <xdr:spPr bwMode="auto">
        <a:xfrm>
          <a:off x="933450" y="3038475"/>
          <a:ext cx="2857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233010</xdr:colOff>
      <xdr:row>21</xdr:row>
      <xdr:rowOff>160867</xdr:rowOff>
    </xdr:from>
    <xdr:to>
      <xdr:col>5</xdr:col>
      <xdr:colOff>9172</xdr:colOff>
      <xdr:row>21</xdr:row>
      <xdr:rowOff>160867</xdr:rowOff>
    </xdr:to>
    <xdr:cxnSp macro="">
      <xdr:nvCxnSpPr>
        <xdr:cNvPr id="214" name="Conector recto 213"/>
        <xdr:cNvCxnSpPr/>
      </xdr:nvCxnSpPr>
      <xdr:spPr>
        <a:xfrm>
          <a:off x="1030288" y="3448756"/>
          <a:ext cx="1966912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754144</xdr:colOff>
      <xdr:row>20</xdr:row>
      <xdr:rowOff>1058</xdr:rowOff>
    </xdr:from>
    <xdr:to>
      <xdr:col>4</xdr:col>
      <xdr:colOff>756708</xdr:colOff>
      <xdr:row>22</xdr:row>
      <xdr:rowOff>5291</xdr:rowOff>
    </xdr:to>
    <xdr:cxnSp macro="">
      <xdr:nvCxnSpPr>
        <xdr:cNvPr id="216" name="Conector recto 215"/>
        <xdr:cNvCxnSpPr/>
      </xdr:nvCxnSpPr>
      <xdr:spPr>
        <a:xfrm>
          <a:off x="2981936" y="3112558"/>
          <a:ext cx="2564" cy="327025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</xdr:colOff>
      <xdr:row>30</xdr:row>
      <xdr:rowOff>11793</xdr:rowOff>
    </xdr:from>
    <xdr:to>
      <xdr:col>3</xdr:col>
      <xdr:colOff>9525</xdr:colOff>
      <xdr:row>41</xdr:row>
      <xdr:rowOff>167822</xdr:rowOff>
    </xdr:to>
    <xdr:sp macro="" textlink="">
      <xdr:nvSpPr>
        <xdr:cNvPr id="209" name="Line 51"/>
        <xdr:cNvSpPr>
          <a:spLocks noChangeShapeType="1"/>
        </xdr:cNvSpPr>
      </xdr:nvSpPr>
      <xdr:spPr bwMode="auto">
        <a:xfrm>
          <a:off x="1742168" y="4946650"/>
          <a:ext cx="0" cy="1979386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293460</xdr:colOff>
      <xdr:row>29</xdr:row>
      <xdr:rowOff>159658</xdr:rowOff>
    </xdr:from>
    <xdr:to>
      <xdr:col>3</xdr:col>
      <xdr:colOff>293460</xdr:colOff>
      <xdr:row>42</xdr:row>
      <xdr:rowOff>7258</xdr:rowOff>
    </xdr:to>
    <xdr:sp macro="" textlink="">
      <xdr:nvSpPr>
        <xdr:cNvPr id="210" name="Line 51"/>
        <xdr:cNvSpPr>
          <a:spLocks noChangeShapeType="1"/>
        </xdr:cNvSpPr>
      </xdr:nvSpPr>
      <xdr:spPr bwMode="auto">
        <a:xfrm>
          <a:off x="2026103" y="4931229"/>
          <a:ext cx="0" cy="200660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289377</xdr:colOff>
      <xdr:row>42</xdr:row>
      <xdr:rowOff>5443</xdr:rowOff>
    </xdr:from>
    <xdr:to>
      <xdr:col>4</xdr:col>
      <xdr:colOff>761999</xdr:colOff>
      <xdr:row>42</xdr:row>
      <xdr:rowOff>5443</xdr:rowOff>
    </xdr:to>
    <xdr:sp macro="" textlink="">
      <xdr:nvSpPr>
        <xdr:cNvPr id="211" name="Line 52"/>
        <xdr:cNvSpPr>
          <a:spLocks noChangeShapeType="1"/>
        </xdr:cNvSpPr>
      </xdr:nvSpPr>
      <xdr:spPr bwMode="auto">
        <a:xfrm flipH="1">
          <a:off x="2022020" y="6936014"/>
          <a:ext cx="967015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2</xdr:col>
      <xdr:colOff>222249</xdr:colOff>
      <xdr:row>43</xdr:row>
      <xdr:rowOff>154215</xdr:rowOff>
    </xdr:from>
    <xdr:to>
      <xdr:col>5</xdr:col>
      <xdr:colOff>4535</xdr:colOff>
      <xdr:row>43</xdr:row>
      <xdr:rowOff>154215</xdr:rowOff>
    </xdr:to>
    <xdr:sp macro="" textlink="">
      <xdr:nvSpPr>
        <xdr:cNvPr id="212" name="Line 52"/>
        <xdr:cNvSpPr>
          <a:spLocks noChangeShapeType="1"/>
        </xdr:cNvSpPr>
      </xdr:nvSpPr>
      <xdr:spPr bwMode="auto">
        <a:xfrm flipH="1">
          <a:off x="1020535" y="7257144"/>
          <a:ext cx="1973036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4</xdr:col>
      <xdr:colOff>761093</xdr:colOff>
      <xdr:row>42</xdr:row>
      <xdr:rowOff>2721</xdr:rowOff>
    </xdr:from>
    <xdr:to>
      <xdr:col>4</xdr:col>
      <xdr:colOff>761093</xdr:colOff>
      <xdr:row>43</xdr:row>
      <xdr:rowOff>154215</xdr:rowOff>
    </xdr:to>
    <xdr:sp macro="" textlink="">
      <xdr:nvSpPr>
        <xdr:cNvPr id="213" name="Line 53"/>
        <xdr:cNvSpPr>
          <a:spLocks noChangeShapeType="1"/>
        </xdr:cNvSpPr>
      </xdr:nvSpPr>
      <xdr:spPr bwMode="auto">
        <a:xfrm>
          <a:off x="2988129" y="6933292"/>
          <a:ext cx="0" cy="323852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sp>
    <xdr:clientData/>
  </xdr:twoCellAnchor>
  <xdr:twoCellAnchor>
    <xdr:from>
      <xdr:col>3</xdr:col>
      <xdr:colOff>3629</xdr:colOff>
      <xdr:row>45</xdr:row>
      <xdr:rowOff>3629</xdr:rowOff>
    </xdr:from>
    <xdr:to>
      <xdr:col>4</xdr:col>
      <xdr:colOff>9524</xdr:colOff>
      <xdr:row>45</xdr:row>
      <xdr:rowOff>3629</xdr:rowOff>
    </xdr:to>
    <xdr:sp macro="" textlink="">
      <xdr:nvSpPr>
        <xdr:cNvPr id="215" name="Line 67"/>
        <xdr:cNvSpPr>
          <a:spLocks noChangeShapeType="1"/>
        </xdr:cNvSpPr>
      </xdr:nvSpPr>
      <xdr:spPr bwMode="auto">
        <a:xfrm>
          <a:off x="1737179" y="7128329"/>
          <a:ext cx="50119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247626</xdr:colOff>
      <xdr:row>7</xdr:row>
      <xdr:rowOff>13241</xdr:rowOff>
    </xdr:from>
    <xdr:to>
      <xdr:col>4</xdr:col>
      <xdr:colOff>249162</xdr:colOff>
      <xdr:row>7</xdr:row>
      <xdr:rowOff>160716</xdr:rowOff>
    </xdr:to>
    <xdr:sp macro="" textlink="">
      <xdr:nvSpPr>
        <xdr:cNvPr id="217" name="Line 35"/>
        <xdr:cNvSpPr>
          <a:spLocks noChangeShapeType="1"/>
        </xdr:cNvSpPr>
      </xdr:nvSpPr>
      <xdr:spPr bwMode="auto">
        <a:xfrm>
          <a:off x="2475418" y="944574"/>
          <a:ext cx="1536" cy="14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642309</xdr:colOff>
      <xdr:row>7</xdr:row>
      <xdr:rowOff>11427</xdr:rowOff>
    </xdr:from>
    <xdr:to>
      <xdr:col>4</xdr:col>
      <xdr:colOff>643845</xdr:colOff>
      <xdr:row>7</xdr:row>
      <xdr:rowOff>158902</xdr:rowOff>
    </xdr:to>
    <xdr:sp macro="" textlink="">
      <xdr:nvSpPr>
        <xdr:cNvPr id="218" name="Line 35"/>
        <xdr:cNvSpPr>
          <a:spLocks noChangeShapeType="1"/>
        </xdr:cNvSpPr>
      </xdr:nvSpPr>
      <xdr:spPr bwMode="auto">
        <a:xfrm>
          <a:off x="2870101" y="942760"/>
          <a:ext cx="1536" cy="14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79200</xdr:colOff>
      <xdr:row>7</xdr:row>
      <xdr:rowOff>14904</xdr:rowOff>
    </xdr:from>
    <xdr:to>
      <xdr:col>5</xdr:col>
      <xdr:colOff>80736</xdr:colOff>
      <xdr:row>8</xdr:row>
      <xdr:rowOff>983</xdr:rowOff>
    </xdr:to>
    <xdr:sp macro="" textlink="">
      <xdr:nvSpPr>
        <xdr:cNvPr id="219" name="Line 35"/>
        <xdr:cNvSpPr>
          <a:spLocks noChangeShapeType="1"/>
        </xdr:cNvSpPr>
      </xdr:nvSpPr>
      <xdr:spPr bwMode="auto">
        <a:xfrm>
          <a:off x="3068992" y="946237"/>
          <a:ext cx="1536" cy="14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281491</xdr:colOff>
      <xdr:row>7</xdr:row>
      <xdr:rowOff>15736</xdr:rowOff>
    </xdr:from>
    <xdr:to>
      <xdr:col>5</xdr:col>
      <xdr:colOff>283027</xdr:colOff>
      <xdr:row>8</xdr:row>
      <xdr:rowOff>1815</xdr:rowOff>
    </xdr:to>
    <xdr:sp macro="" textlink="">
      <xdr:nvSpPr>
        <xdr:cNvPr id="220" name="Line 35"/>
        <xdr:cNvSpPr>
          <a:spLocks noChangeShapeType="1"/>
        </xdr:cNvSpPr>
      </xdr:nvSpPr>
      <xdr:spPr bwMode="auto">
        <a:xfrm>
          <a:off x="3271283" y="947069"/>
          <a:ext cx="1536" cy="14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739296</xdr:colOff>
      <xdr:row>7</xdr:row>
      <xdr:rowOff>16568</xdr:rowOff>
    </xdr:from>
    <xdr:to>
      <xdr:col>5</xdr:col>
      <xdr:colOff>740832</xdr:colOff>
      <xdr:row>8</xdr:row>
      <xdr:rowOff>2647</xdr:rowOff>
    </xdr:to>
    <xdr:sp macro="" textlink="">
      <xdr:nvSpPr>
        <xdr:cNvPr id="221" name="Line 35"/>
        <xdr:cNvSpPr>
          <a:spLocks noChangeShapeType="1"/>
        </xdr:cNvSpPr>
      </xdr:nvSpPr>
      <xdr:spPr bwMode="auto">
        <a:xfrm>
          <a:off x="3729088" y="947901"/>
          <a:ext cx="1536" cy="147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210911</xdr:colOff>
      <xdr:row>65</xdr:row>
      <xdr:rowOff>0</xdr:rowOff>
    </xdr:from>
    <xdr:to>
      <xdr:col>5</xdr:col>
      <xdr:colOff>3402</xdr:colOff>
      <xdr:row>65</xdr:row>
      <xdr:rowOff>0</xdr:rowOff>
    </xdr:to>
    <xdr:cxnSp macro="">
      <xdr:nvCxnSpPr>
        <xdr:cNvPr id="190" name="Conector recto 189"/>
        <xdr:cNvCxnSpPr/>
      </xdr:nvCxnSpPr>
      <xdr:spPr>
        <a:xfrm>
          <a:off x="1013732" y="10732634"/>
          <a:ext cx="1983241" cy="0"/>
        </a:xfrm>
        <a:prstGeom prst="line">
          <a:avLst/>
        </a:prstGeom>
        <a:ln w="127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476249</xdr:colOff>
      <xdr:row>57</xdr:row>
      <xdr:rowOff>139212</xdr:rowOff>
    </xdr:from>
    <xdr:to>
      <xdr:col>7</xdr:col>
      <xdr:colOff>152399</xdr:colOff>
      <xdr:row>58</xdr:row>
      <xdr:rowOff>97448</xdr:rowOff>
    </xdr:to>
    <xdr:sp macro="" textlink="">
      <xdr:nvSpPr>
        <xdr:cNvPr id="223" name="AutoShape 138"/>
        <xdr:cNvSpPr>
          <a:spLocks noChangeArrowheads="1"/>
        </xdr:cNvSpPr>
      </xdr:nvSpPr>
      <xdr:spPr bwMode="auto">
        <a:xfrm>
          <a:off x="4249614" y="9202616"/>
          <a:ext cx="540727" cy="119428"/>
        </a:xfrm>
        <a:prstGeom prst="leftArrow">
          <a:avLst>
            <a:gd name="adj1" fmla="val 50000"/>
            <a:gd name="adj2" fmla="val 17500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57696</xdr:colOff>
      <xdr:row>191</xdr:row>
      <xdr:rowOff>64893</xdr:rowOff>
    </xdr:from>
    <xdr:to>
      <xdr:col>3</xdr:col>
      <xdr:colOff>103415</xdr:colOff>
      <xdr:row>191</xdr:row>
      <xdr:rowOff>110612</xdr:rowOff>
    </xdr:to>
    <xdr:sp macro="" textlink="">
      <xdr:nvSpPr>
        <xdr:cNvPr id="199" name="Oval 238"/>
        <xdr:cNvSpPr>
          <a:spLocks noChangeArrowheads="1"/>
        </xdr:cNvSpPr>
      </xdr:nvSpPr>
      <xdr:spPr bwMode="auto">
        <a:xfrm flipH="1">
          <a:off x="1792607" y="31347714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165873</xdr:colOff>
      <xdr:row>191</xdr:row>
      <xdr:rowOff>67614</xdr:rowOff>
    </xdr:from>
    <xdr:to>
      <xdr:col>3</xdr:col>
      <xdr:colOff>211592</xdr:colOff>
      <xdr:row>191</xdr:row>
      <xdr:rowOff>113333</xdr:rowOff>
    </xdr:to>
    <xdr:sp macro="" textlink="">
      <xdr:nvSpPr>
        <xdr:cNvPr id="200" name="Oval 238"/>
        <xdr:cNvSpPr>
          <a:spLocks noChangeArrowheads="1"/>
        </xdr:cNvSpPr>
      </xdr:nvSpPr>
      <xdr:spPr bwMode="auto">
        <a:xfrm flipH="1">
          <a:off x="1900784" y="31350435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60418</xdr:colOff>
      <xdr:row>193</xdr:row>
      <xdr:rowOff>149257</xdr:rowOff>
    </xdr:from>
    <xdr:to>
      <xdr:col>3</xdr:col>
      <xdr:colOff>106137</xdr:colOff>
      <xdr:row>194</xdr:row>
      <xdr:rowOff>31690</xdr:rowOff>
    </xdr:to>
    <xdr:sp macro="" textlink="">
      <xdr:nvSpPr>
        <xdr:cNvPr id="201" name="Oval 238"/>
        <xdr:cNvSpPr>
          <a:spLocks noChangeArrowheads="1"/>
        </xdr:cNvSpPr>
      </xdr:nvSpPr>
      <xdr:spPr bwMode="auto">
        <a:xfrm flipH="1">
          <a:off x="1795329" y="31758650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168595</xdr:colOff>
      <xdr:row>193</xdr:row>
      <xdr:rowOff>151978</xdr:rowOff>
    </xdr:from>
    <xdr:to>
      <xdr:col>3</xdr:col>
      <xdr:colOff>214314</xdr:colOff>
      <xdr:row>194</xdr:row>
      <xdr:rowOff>34411</xdr:rowOff>
    </xdr:to>
    <xdr:sp macro="" textlink="">
      <xdr:nvSpPr>
        <xdr:cNvPr id="206" name="Oval 238"/>
        <xdr:cNvSpPr>
          <a:spLocks noChangeArrowheads="1"/>
        </xdr:cNvSpPr>
      </xdr:nvSpPr>
      <xdr:spPr bwMode="auto">
        <a:xfrm flipH="1">
          <a:off x="1903506" y="31761371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63139</xdr:colOff>
      <xdr:row>195</xdr:row>
      <xdr:rowOff>138371</xdr:rowOff>
    </xdr:from>
    <xdr:to>
      <xdr:col>3</xdr:col>
      <xdr:colOff>108858</xdr:colOff>
      <xdr:row>196</xdr:row>
      <xdr:rowOff>14000</xdr:rowOff>
    </xdr:to>
    <xdr:sp macro="" textlink="">
      <xdr:nvSpPr>
        <xdr:cNvPr id="222" name="Oval 238"/>
        <xdr:cNvSpPr>
          <a:spLocks noChangeArrowheads="1"/>
        </xdr:cNvSpPr>
      </xdr:nvSpPr>
      <xdr:spPr bwMode="auto">
        <a:xfrm flipH="1">
          <a:off x="1798050" y="32074335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171316</xdr:colOff>
      <xdr:row>195</xdr:row>
      <xdr:rowOff>141092</xdr:rowOff>
    </xdr:from>
    <xdr:to>
      <xdr:col>3</xdr:col>
      <xdr:colOff>217035</xdr:colOff>
      <xdr:row>196</xdr:row>
      <xdr:rowOff>16721</xdr:rowOff>
    </xdr:to>
    <xdr:sp macro="" textlink="">
      <xdr:nvSpPr>
        <xdr:cNvPr id="224" name="Oval 238"/>
        <xdr:cNvSpPr>
          <a:spLocks noChangeArrowheads="1"/>
        </xdr:cNvSpPr>
      </xdr:nvSpPr>
      <xdr:spPr bwMode="auto">
        <a:xfrm flipH="1">
          <a:off x="1906227" y="32077056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52934</xdr:colOff>
      <xdr:row>197</xdr:row>
      <xdr:rowOff>148577</xdr:rowOff>
    </xdr:from>
    <xdr:to>
      <xdr:col>3</xdr:col>
      <xdr:colOff>98653</xdr:colOff>
      <xdr:row>198</xdr:row>
      <xdr:rowOff>31010</xdr:rowOff>
    </xdr:to>
    <xdr:sp macro="" textlink="">
      <xdr:nvSpPr>
        <xdr:cNvPr id="225" name="Oval 238"/>
        <xdr:cNvSpPr>
          <a:spLocks noChangeArrowheads="1"/>
        </xdr:cNvSpPr>
      </xdr:nvSpPr>
      <xdr:spPr bwMode="auto">
        <a:xfrm flipH="1">
          <a:off x="1787845" y="32417916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161111</xdr:colOff>
      <xdr:row>197</xdr:row>
      <xdr:rowOff>151298</xdr:rowOff>
    </xdr:from>
    <xdr:to>
      <xdr:col>3</xdr:col>
      <xdr:colOff>206830</xdr:colOff>
      <xdr:row>198</xdr:row>
      <xdr:rowOff>33731</xdr:rowOff>
    </xdr:to>
    <xdr:sp macro="" textlink="">
      <xdr:nvSpPr>
        <xdr:cNvPr id="226" name="Oval 238"/>
        <xdr:cNvSpPr>
          <a:spLocks noChangeArrowheads="1"/>
        </xdr:cNvSpPr>
      </xdr:nvSpPr>
      <xdr:spPr bwMode="auto">
        <a:xfrm flipH="1">
          <a:off x="1896022" y="32420637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55656</xdr:colOff>
      <xdr:row>200</xdr:row>
      <xdr:rowOff>141093</xdr:rowOff>
    </xdr:from>
    <xdr:to>
      <xdr:col>3</xdr:col>
      <xdr:colOff>101375</xdr:colOff>
      <xdr:row>201</xdr:row>
      <xdr:rowOff>16722</xdr:rowOff>
    </xdr:to>
    <xdr:sp macro="" textlink="">
      <xdr:nvSpPr>
        <xdr:cNvPr id="227" name="Oval 238"/>
        <xdr:cNvSpPr>
          <a:spLocks noChangeArrowheads="1"/>
        </xdr:cNvSpPr>
      </xdr:nvSpPr>
      <xdr:spPr bwMode="auto">
        <a:xfrm flipH="1">
          <a:off x="1790567" y="32900289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163833</xdr:colOff>
      <xdr:row>200</xdr:row>
      <xdr:rowOff>143814</xdr:rowOff>
    </xdr:from>
    <xdr:to>
      <xdr:col>3</xdr:col>
      <xdr:colOff>209552</xdr:colOff>
      <xdr:row>201</xdr:row>
      <xdr:rowOff>19443</xdr:rowOff>
    </xdr:to>
    <xdr:sp macro="" textlink="">
      <xdr:nvSpPr>
        <xdr:cNvPr id="228" name="Oval 238"/>
        <xdr:cNvSpPr>
          <a:spLocks noChangeArrowheads="1"/>
        </xdr:cNvSpPr>
      </xdr:nvSpPr>
      <xdr:spPr bwMode="auto">
        <a:xfrm flipH="1">
          <a:off x="1898744" y="32903010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47624</xdr:colOff>
      <xdr:row>202</xdr:row>
      <xdr:rowOff>122465</xdr:rowOff>
    </xdr:from>
    <xdr:to>
      <xdr:col>3</xdr:col>
      <xdr:colOff>93343</xdr:colOff>
      <xdr:row>203</xdr:row>
      <xdr:rowOff>4898</xdr:rowOff>
    </xdr:to>
    <xdr:sp macro="" textlink="">
      <xdr:nvSpPr>
        <xdr:cNvPr id="229" name="Oval 238"/>
        <xdr:cNvSpPr>
          <a:spLocks noChangeArrowheads="1"/>
        </xdr:cNvSpPr>
      </xdr:nvSpPr>
      <xdr:spPr bwMode="auto">
        <a:xfrm flipH="1">
          <a:off x="1782535" y="33215036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155801</xdr:colOff>
      <xdr:row>202</xdr:row>
      <xdr:rowOff>125186</xdr:rowOff>
    </xdr:from>
    <xdr:to>
      <xdr:col>3</xdr:col>
      <xdr:colOff>201520</xdr:colOff>
      <xdr:row>203</xdr:row>
      <xdr:rowOff>7619</xdr:rowOff>
    </xdr:to>
    <xdr:sp macro="" textlink="">
      <xdr:nvSpPr>
        <xdr:cNvPr id="230" name="Oval 238"/>
        <xdr:cNvSpPr>
          <a:spLocks noChangeArrowheads="1"/>
        </xdr:cNvSpPr>
      </xdr:nvSpPr>
      <xdr:spPr bwMode="auto">
        <a:xfrm flipH="1">
          <a:off x="1890712" y="33217757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215672</xdr:colOff>
      <xdr:row>204</xdr:row>
      <xdr:rowOff>162605</xdr:rowOff>
    </xdr:from>
    <xdr:to>
      <xdr:col>4</xdr:col>
      <xdr:colOff>758597</xdr:colOff>
      <xdr:row>204</xdr:row>
      <xdr:rowOff>162605</xdr:rowOff>
    </xdr:to>
    <xdr:sp macro="" textlink="">
      <xdr:nvSpPr>
        <xdr:cNvPr id="231" name="Line 205"/>
        <xdr:cNvSpPr>
          <a:spLocks noChangeShapeType="1"/>
        </xdr:cNvSpPr>
      </xdr:nvSpPr>
      <xdr:spPr bwMode="auto">
        <a:xfrm flipH="1">
          <a:off x="1018493" y="33588551"/>
          <a:ext cx="200909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261938</xdr:colOff>
      <xdr:row>203</xdr:row>
      <xdr:rowOff>54429</xdr:rowOff>
    </xdr:from>
    <xdr:to>
      <xdr:col>3</xdr:col>
      <xdr:colOff>51027</xdr:colOff>
      <xdr:row>203</xdr:row>
      <xdr:rowOff>54429</xdr:rowOff>
    </xdr:to>
    <xdr:cxnSp macro="">
      <xdr:nvCxnSpPr>
        <xdr:cNvPr id="8" name="Conector recto 7"/>
        <xdr:cNvCxnSpPr/>
      </xdr:nvCxnSpPr>
      <xdr:spPr>
        <a:xfrm flipH="1">
          <a:off x="1064759" y="33310286"/>
          <a:ext cx="721179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3</xdr:col>
      <xdr:colOff>213632</xdr:colOff>
      <xdr:row>203</xdr:row>
      <xdr:rowOff>60552</xdr:rowOff>
    </xdr:from>
    <xdr:to>
      <xdr:col>4</xdr:col>
      <xdr:colOff>710973</xdr:colOff>
      <xdr:row>203</xdr:row>
      <xdr:rowOff>60552</xdr:rowOff>
    </xdr:to>
    <xdr:cxnSp macro="">
      <xdr:nvCxnSpPr>
        <xdr:cNvPr id="232" name="Conector recto 231"/>
        <xdr:cNvCxnSpPr/>
      </xdr:nvCxnSpPr>
      <xdr:spPr>
        <a:xfrm flipH="1">
          <a:off x="1948543" y="33316409"/>
          <a:ext cx="1031421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4</xdr:col>
      <xdr:colOff>710973</xdr:colOff>
      <xdr:row>203</xdr:row>
      <xdr:rowOff>54425</xdr:rowOff>
    </xdr:from>
    <xdr:to>
      <xdr:col>4</xdr:col>
      <xdr:colOff>710973</xdr:colOff>
      <xdr:row>204</xdr:row>
      <xdr:rowOff>98649</xdr:rowOff>
    </xdr:to>
    <xdr:cxnSp macro="">
      <xdr:nvCxnSpPr>
        <xdr:cNvPr id="31" name="Conector recto 30"/>
        <xdr:cNvCxnSpPr/>
      </xdr:nvCxnSpPr>
      <xdr:spPr>
        <a:xfrm>
          <a:off x="2979964" y="33310282"/>
          <a:ext cx="0" cy="21431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312964</xdr:colOff>
      <xdr:row>204</xdr:row>
      <xdr:rowOff>104095</xdr:rowOff>
    </xdr:from>
    <xdr:to>
      <xdr:col>4</xdr:col>
      <xdr:colOff>737507</xdr:colOff>
      <xdr:row>204</xdr:row>
      <xdr:rowOff>104095</xdr:rowOff>
    </xdr:to>
    <xdr:cxnSp macro="">
      <xdr:nvCxnSpPr>
        <xdr:cNvPr id="233" name="Conector recto 232"/>
        <xdr:cNvCxnSpPr/>
      </xdr:nvCxnSpPr>
      <xdr:spPr>
        <a:xfrm flipH="1">
          <a:off x="1115785" y="33530041"/>
          <a:ext cx="1890713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cxnSp>
    <xdr:clientData/>
  </xdr:twoCellAnchor>
  <xdr:twoCellAnchor>
    <xdr:from>
      <xdr:col>4</xdr:col>
      <xdr:colOff>734105</xdr:colOff>
      <xdr:row>203</xdr:row>
      <xdr:rowOff>40137</xdr:rowOff>
    </xdr:from>
    <xdr:to>
      <xdr:col>4</xdr:col>
      <xdr:colOff>734105</xdr:colOff>
      <xdr:row>204</xdr:row>
      <xdr:rowOff>112256</xdr:rowOff>
    </xdr:to>
    <xdr:cxnSp macro="">
      <xdr:nvCxnSpPr>
        <xdr:cNvPr id="234" name="Conector recto 233"/>
        <xdr:cNvCxnSpPr/>
      </xdr:nvCxnSpPr>
      <xdr:spPr>
        <a:xfrm>
          <a:off x="3003096" y="33295994"/>
          <a:ext cx="0" cy="24220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187097</xdr:colOff>
      <xdr:row>196</xdr:row>
      <xdr:rowOff>85043</xdr:rowOff>
    </xdr:from>
    <xdr:to>
      <xdr:col>4</xdr:col>
      <xdr:colOff>10204</xdr:colOff>
      <xdr:row>198</xdr:row>
      <xdr:rowOff>21771</xdr:rowOff>
    </xdr:to>
    <xdr:sp macro="" textlink="">
      <xdr:nvSpPr>
        <xdr:cNvPr id="235" name="Line 251"/>
        <xdr:cNvSpPr>
          <a:spLocks noChangeShapeType="1"/>
        </xdr:cNvSpPr>
      </xdr:nvSpPr>
      <xdr:spPr bwMode="auto">
        <a:xfrm flipV="1">
          <a:off x="1922008" y="32191097"/>
          <a:ext cx="357187" cy="263299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3</xdr:col>
      <xdr:colOff>84363</xdr:colOff>
      <xdr:row>198</xdr:row>
      <xdr:rowOff>122463</xdr:rowOff>
    </xdr:from>
    <xdr:to>
      <xdr:col>3</xdr:col>
      <xdr:colOff>506866</xdr:colOff>
      <xdr:row>200</xdr:row>
      <xdr:rowOff>160563</xdr:rowOff>
    </xdr:to>
    <xdr:sp macro="" textlink="">
      <xdr:nvSpPr>
        <xdr:cNvPr id="236" name="Line 251"/>
        <xdr:cNvSpPr>
          <a:spLocks noChangeShapeType="1"/>
        </xdr:cNvSpPr>
      </xdr:nvSpPr>
      <xdr:spPr bwMode="auto">
        <a:xfrm flipV="1">
          <a:off x="1819274" y="32555088"/>
          <a:ext cx="422503" cy="36467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658586</xdr:colOff>
      <xdr:row>203</xdr:row>
      <xdr:rowOff>70077</xdr:rowOff>
    </xdr:from>
    <xdr:to>
      <xdr:col>4</xdr:col>
      <xdr:colOff>704305</xdr:colOff>
      <xdr:row>203</xdr:row>
      <xdr:rowOff>115796</xdr:rowOff>
    </xdr:to>
    <xdr:sp macro="" textlink="">
      <xdr:nvSpPr>
        <xdr:cNvPr id="237" name="Oval 238"/>
        <xdr:cNvSpPr>
          <a:spLocks noChangeArrowheads="1"/>
        </xdr:cNvSpPr>
      </xdr:nvSpPr>
      <xdr:spPr bwMode="auto">
        <a:xfrm flipH="1">
          <a:off x="2927577" y="33325934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402772</xdr:colOff>
      <xdr:row>203</xdr:row>
      <xdr:rowOff>69397</xdr:rowOff>
    </xdr:from>
    <xdr:to>
      <xdr:col>4</xdr:col>
      <xdr:colOff>448491</xdr:colOff>
      <xdr:row>203</xdr:row>
      <xdr:rowOff>115116</xdr:rowOff>
    </xdr:to>
    <xdr:sp macro="" textlink="">
      <xdr:nvSpPr>
        <xdr:cNvPr id="238" name="Oval 238"/>
        <xdr:cNvSpPr>
          <a:spLocks noChangeArrowheads="1"/>
        </xdr:cNvSpPr>
      </xdr:nvSpPr>
      <xdr:spPr bwMode="auto">
        <a:xfrm flipH="1">
          <a:off x="2671763" y="33325254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116342</xdr:colOff>
      <xdr:row>203</xdr:row>
      <xdr:rowOff>65314</xdr:rowOff>
    </xdr:from>
    <xdr:to>
      <xdr:col>4</xdr:col>
      <xdr:colOff>162061</xdr:colOff>
      <xdr:row>203</xdr:row>
      <xdr:rowOff>111033</xdr:rowOff>
    </xdr:to>
    <xdr:sp macro="" textlink="">
      <xdr:nvSpPr>
        <xdr:cNvPr id="239" name="Oval 238"/>
        <xdr:cNvSpPr>
          <a:spLocks noChangeArrowheads="1"/>
        </xdr:cNvSpPr>
      </xdr:nvSpPr>
      <xdr:spPr bwMode="auto">
        <a:xfrm flipH="1">
          <a:off x="2385333" y="33321171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391206</xdr:colOff>
      <xdr:row>203</xdr:row>
      <xdr:rowOff>68035</xdr:rowOff>
    </xdr:from>
    <xdr:to>
      <xdr:col>3</xdr:col>
      <xdr:colOff>436925</xdr:colOff>
      <xdr:row>203</xdr:row>
      <xdr:rowOff>113754</xdr:rowOff>
    </xdr:to>
    <xdr:sp macro="" textlink="">
      <xdr:nvSpPr>
        <xdr:cNvPr id="240" name="Oval 238"/>
        <xdr:cNvSpPr>
          <a:spLocks noChangeArrowheads="1"/>
        </xdr:cNvSpPr>
      </xdr:nvSpPr>
      <xdr:spPr bwMode="auto">
        <a:xfrm flipH="1">
          <a:off x="2126117" y="33323892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734787</xdr:colOff>
      <xdr:row>203</xdr:row>
      <xdr:rowOff>64634</xdr:rowOff>
    </xdr:from>
    <xdr:to>
      <xdr:col>2</xdr:col>
      <xdr:colOff>780506</xdr:colOff>
      <xdr:row>203</xdr:row>
      <xdr:rowOff>110353</xdr:rowOff>
    </xdr:to>
    <xdr:sp macro="" textlink="">
      <xdr:nvSpPr>
        <xdr:cNvPr id="241" name="Oval 238"/>
        <xdr:cNvSpPr>
          <a:spLocks noChangeArrowheads="1"/>
        </xdr:cNvSpPr>
      </xdr:nvSpPr>
      <xdr:spPr bwMode="auto">
        <a:xfrm flipH="1">
          <a:off x="1537608" y="33320491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366713</xdr:colOff>
      <xdr:row>203</xdr:row>
      <xdr:rowOff>60552</xdr:rowOff>
    </xdr:from>
    <xdr:to>
      <xdr:col>2</xdr:col>
      <xdr:colOff>412432</xdr:colOff>
      <xdr:row>203</xdr:row>
      <xdr:rowOff>106271</xdr:rowOff>
    </xdr:to>
    <xdr:sp macro="" textlink="">
      <xdr:nvSpPr>
        <xdr:cNvPr id="242" name="Oval 238"/>
        <xdr:cNvSpPr>
          <a:spLocks noChangeArrowheads="1"/>
        </xdr:cNvSpPr>
      </xdr:nvSpPr>
      <xdr:spPr bwMode="auto">
        <a:xfrm flipH="1">
          <a:off x="1169534" y="33316409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634093</xdr:colOff>
      <xdr:row>204</xdr:row>
      <xdr:rowOff>52388</xdr:rowOff>
    </xdr:from>
    <xdr:to>
      <xdr:col>4</xdr:col>
      <xdr:colOff>679812</xdr:colOff>
      <xdr:row>204</xdr:row>
      <xdr:rowOff>98107</xdr:rowOff>
    </xdr:to>
    <xdr:sp macro="" textlink="">
      <xdr:nvSpPr>
        <xdr:cNvPr id="243" name="Oval 238"/>
        <xdr:cNvSpPr>
          <a:spLocks noChangeArrowheads="1"/>
        </xdr:cNvSpPr>
      </xdr:nvSpPr>
      <xdr:spPr bwMode="auto">
        <a:xfrm flipH="1">
          <a:off x="2903084" y="33478334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378279</xdr:colOff>
      <xdr:row>204</xdr:row>
      <xdr:rowOff>51708</xdr:rowOff>
    </xdr:from>
    <xdr:to>
      <xdr:col>4</xdr:col>
      <xdr:colOff>423998</xdr:colOff>
      <xdr:row>204</xdr:row>
      <xdr:rowOff>97427</xdr:rowOff>
    </xdr:to>
    <xdr:sp macro="" textlink="">
      <xdr:nvSpPr>
        <xdr:cNvPr id="244" name="Oval 238"/>
        <xdr:cNvSpPr>
          <a:spLocks noChangeArrowheads="1"/>
        </xdr:cNvSpPr>
      </xdr:nvSpPr>
      <xdr:spPr bwMode="auto">
        <a:xfrm flipH="1">
          <a:off x="2647270" y="33477654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91849</xdr:colOff>
      <xdr:row>204</xdr:row>
      <xdr:rowOff>47625</xdr:rowOff>
    </xdr:from>
    <xdr:to>
      <xdr:col>4</xdr:col>
      <xdr:colOff>137568</xdr:colOff>
      <xdr:row>204</xdr:row>
      <xdr:rowOff>93344</xdr:rowOff>
    </xdr:to>
    <xdr:sp macro="" textlink="">
      <xdr:nvSpPr>
        <xdr:cNvPr id="245" name="Oval 238"/>
        <xdr:cNvSpPr>
          <a:spLocks noChangeArrowheads="1"/>
        </xdr:cNvSpPr>
      </xdr:nvSpPr>
      <xdr:spPr bwMode="auto">
        <a:xfrm flipH="1">
          <a:off x="2360840" y="33473571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366713</xdr:colOff>
      <xdr:row>204</xdr:row>
      <xdr:rowOff>50346</xdr:rowOff>
    </xdr:from>
    <xdr:to>
      <xdr:col>3</xdr:col>
      <xdr:colOff>412432</xdr:colOff>
      <xdr:row>204</xdr:row>
      <xdr:rowOff>96065</xdr:rowOff>
    </xdr:to>
    <xdr:sp macro="" textlink="">
      <xdr:nvSpPr>
        <xdr:cNvPr id="246" name="Oval 238"/>
        <xdr:cNvSpPr>
          <a:spLocks noChangeArrowheads="1"/>
        </xdr:cNvSpPr>
      </xdr:nvSpPr>
      <xdr:spPr bwMode="auto">
        <a:xfrm flipH="1">
          <a:off x="2101624" y="33476292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710294</xdr:colOff>
      <xdr:row>204</xdr:row>
      <xdr:rowOff>46945</xdr:rowOff>
    </xdr:from>
    <xdr:to>
      <xdr:col>2</xdr:col>
      <xdr:colOff>756013</xdr:colOff>
      <xdr:row>204</xdr:row>
      <xdr:rowOff>92664</xdr:rowOff>
    </xdr:to>
    <xdr:sp macro="" textlink="">
      <xdr:nvSpPr>
        <xdr:cNvPr id="247" name="Oval 238"/>
        <xdr:cNvSpPr>
          <a:spLocks noChangeArrowheads="1"/>
        </xdr:cNvSpPr>
      </xdr:nvSpPr>
      <xdr:spPr bwMode="auto">
        <a:xfrm flipH="1">
          <a:off x="1513115" y="33472891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342220</xdr:colOff>
      <xdr:row>204</xdr:row>
      <xdr:rowOff>42863</xdr:rowOff>
    </xdr:from>
    <xdr:to>
      <xdr:col>2</xdr:col>
      <xdr:colOff>387939</xdr:colOff>
      <xdr:row>204</xdr:row>
      <xdr:rowOff>88582</xdr:rowOff>
    </xdr:to>
    <xdr:sp macro="" textlink="">
      <xdr:nvSpPr>
        <xdr:cNvPr id="248" name="Oval 238"/>
        <xdr:cNvSpPr>
          <a:spLocks noChangeArrowheads="1"/>
        </xdr:cNvSpPr>
      </xdr:nvSpPr>
      <xdr:spPr bwMode="auto">
        <a:xfrm flipH="1">
          <a:off x="1145041" y="33468809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97291</xdr:colOff>
      <xdr:row>204</xdr:row>
      <xdr:rowOff>36059</xdr:rowOff>
    </xdr:from>
    <xdr:to>
      <xdr:col>3</xdr:col>
      <xdr:colOff>143010</xdr:colOff>
      <xdr:row>204</xdr:row>
      <xdr:rowOff>81778</xdr:rowOff>
    </xdr:to>
    <xdr:sp macro="" textlink="">
      <xdr:nvSpPr>
        <xdr:cNvPr id="249" name="Oval 238"/>
        <xdr:cNvSpPr>
          <a:spLocks noChangeArrowheads="1"/>
        </xdr:cNvSpPr>
      </xdr:nvSpPr>
      <xdr:spPr bwMode="auto">
        <a:xfrm flipH="1">
          <a:off x="1832202" y="33462005"/>
          <a:ext cx="45719" cy="45719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411615</xdr:colOff>
      <xdr:row>202</xdr:row>
      <xdr:rowOff>3403</xdr:rowOff>
    </xdr:from>
    <xdr:to>
      <xdr:col>4</xdr:col>
      <xdr:colOff>115660</xdr:colOff>
      <xdr:row>203</xdr:row>
      <xdr:rowOff>90488</xdr:rowOff>
    </xdr:to>
    <xdr:sp macro="" textlink="">
      <xdr:nvSpPr>
        <xdr:cNvPr id="250" name="Line 244"/>
        <xdr:cNvSpPr>
          <a:spLocks noChangeShapeType="1"/>
        </xdr:cNvSpPr>
      </xdr:nvSpPr>
      <xdr:spPr bwMode="auto">
        <a:xfrm flipV="1">
          <a:off x="2146526" y="33095974"/>
          <a:ext cx="238125" cy="25037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602116</xdr:colOff>
      <xdr:row>204</xdr:row>
      <xdr:rowOff>98652</xdr:rowOff>
    </xdr:from>
    <xdr:to>
      <xdr:col>5</xdr:col>
      <xdr:colOff>323170</xdr:colOff>
      <xdr:row>206</xdr:row>
      <xdr:rowOff>0</xdr:rowOff>
    </xdr:to>
    <xdr:sp macro="" textlink="">
      <xdr:nvSpPr>
        <xdr:cNvPr id="251" name="Line 244"/>
        <xdr:cNvSpPr>
          <a:spLocks noChangeShapeType="1"/>
        </xdr:cNvSpPr>
      </xdr:nvSpPr>
      <xdr:spPr bwMode="auto">
        <a:xfrm>
          <a:off x="2871107" y="33524598"/>
          <a:ext cx="483054" cy="22792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414338</xdr:colOff>
      <xdr:row>204</xdr:row>
      <xdr:rowOff>91168</xdr:rowOff>
    </xdr:from>
    <xdr:to>
      <xdr:col>5</xdr:col>
      <xdr:colOff>149679</xdr:colOff>
      <xdr:row>205</xdr:row>
      <xdr:rowOff>159884</xdr:rowOff>
    </xdr:to>
    <xdr:sp macro="" textlink="">
      <xdr:nvSpPr>
        <xdr:cNvPr id="252" name="Line 244"/>
        <xdr:cNvSpPr>
          <a:spLocks noChangeShapeType="1"/>
        </xdr:cNvSpPr>
      </xdr:nvSpPr>
      <xdr:spPr bwMode="auto">
        <a:xfrm>
          <a:off x="2683329" y="33517114"/>
          <a:ext cx="497341" cy="232002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STRUCTURAS\DE%20HORMIGON%20ARMADO\OPTIMIZACION%20ESTRUCTURAL\muros%20de%20contencion%20tesi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t"/>
      <sheetName val="(1)"/>
      <sheetName val="(2)"/>
      <sheetName val="(3)"/>
      <sheetName val="(4)"/>
      <sheetName val="(5)"/>
      <sheetName val="(6)"/>
      <sheetName val="(7)"/>
      <sheetName val="Ho"/>
      <sheetName val="Muroaa"/>
      <sheetName val="FeAA"/>
      <sheetName val="Murobb"/>
      <sheetName val="FeBB"/>
      <sheetName val="Murocc"/>
      <sheetName val="FeCC"/>
      <sheetName val="Murodd"/>
      <sheetName val="FeDD"/>
      <sheetName val="Muroff"/>
      <sheetName val="FeFF"/>
      <sheetName val="Murogg"/>
      <sheetName val="FeGG"/>
      <sheetName val="Murohh"/>
      <sheetName val="FeHH"/>
      <sheetName val="resumen"/>
      <sheetName val="auxiliares"/>
    </sheetNames>
    <sheetDataSet>
      <sheetData sheetId="0" refreshError="1"/>
      <sheetData sheetId="1">
        <row r="30">
          <cell r="E30">
            <v>30780.000000000004</v>
          </cell>
        </row>
        <row r="32">
          <cell r="E32">
            <v>65460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>
        <row r="51">
          <cell r="B51">
            <v>1.8375000000000001</v>
          </cell>
          <cell r="D51">
            <v>1.3125</v>
          </cell>
          <cell r="G51">
            <v>2.4</v>
          </cell>
        </row>
        <row r="74">
          <cell r="B74">
            <v>26.67</v>
          </cell>
        </row>
        <row r="75">
          <cell r="B75">
            <v>3.02</v>
          </cell>
        </row>
        <row r="76">
          <cell r="B76">
            <v>2.5299999999999998</v>
          </cell>
        </row>
        <row r="164">
          <cell r="D164">
            <v>3.7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R221"/>
  <sheetViews>
    <sheetView tabSelected="1" view="pageBreakPreview" topLeftCell="A178" zoomScale="110" zoomScaleNormal="140" zoomScaleSheetLayoutView="110" workbookViewId="0">
      <selection activeCell="K6" sqref="K6"/>
    </sheetView>
  </sheetViews>
  <sheetFormatPr baseColWidth="10" defaultRowHeight="12.75" x14ac:dyDescent="0.2"/>
  <cols>
    <col min="1" max="1" width="6" style="1" customWidth="1"/>
    <col min="2" max="2" width="7.7109375" style="1" customWidth="1"/>
    <col min="3" max="3" width="14" style="32" customWidth="1"/>
    <col min="4" max="4" width="8" style="32" customWidth="1"/>
    <col min="5" max="5" width="11.5703125" style="32" bestFit="1" customWidth="1"/>
    <col min="6" max="6" width="11.28515625" style="32" bestFit="1" customWidth="1"/>
    <col min="7" max="7" width="14.42578125" style="32" customWidth="1"/>
    <col min="8" max="8" width="16" style="32" customWidth="1"/>
    <col min="9" max="9" width="12.85546875" style="32" bestFit="1" customWidth="1"/>
    <col min="10" max="10" width="8.28515625" style="33" bestFit="1" customWidth="1"/>
    <col min="11" max="11" width="12.42578125" style="32" bestFit="1" customWidth="1"/>
    <col min="12" max="12" width="11.42578125" style="32"/>
    <col min="13" max="14" width="6.140625" style="32" bestFit="1" customWidth="1"/>
    <col min="15" max="16" width="11.42578125" style="32"/>
    <col min="17" max="16384" width="11.42578125" style="1"/>
  </cols>
  <sheetData>
    <row r="2" spans="1:10" ht="15" customHeight="1" x14ac:dyDescent="0.25">
      <c r="A2" s="115" t="s">
        <v>146</v>
      </c>
      <c r="B2" s="115"/>
      <c r="C2" s="115"/>
      <c r="D2" s="115"/>
      <c r="E2" s="115"/>
      <c r="F2" s="115"/>
      <c r="G2" s="115"/>
      <c r="H2" s="115"/>
      <c r="I2" s="115"/>
      <c r="J2" s="115"/>
    </row>
    <row r="3" spans="1:10" ht="15" customHeight="1" x14ac:dyDescent="0.25">
      <c r="A3" s="108"/>
      <c r="B3" s="108"/>
      <c r="C3" s="108"/>
      <c r="D3" s="108"/>
      <c r="E3" s="108"/>
      <c r="F3" s="108"/>
      <c r="G3" s="108"/>
      <c r="H3" s="108"/>
      <c r="I3" s="108"/>
      <c r="J3" s="108"/>
    </row>
    <row r="4" spans="1:10" ht="15" customHeight="1" x14ac:dyDescent="0.25">
      <c r="B4" s="121" t="s">
        <v>168</v>
      </c>
      <c r="C4" s="122" t="s">
        <v>169</v>
      </c>
      <c r="D4" s="108"/>
      <c r="E4" s="108"/>
      <c r="F4" s="108"/>
      <c r="G4" s="108"/>
      <c r="H4" s="108"/>
      <c r="I4" s="108"/>
      <c r="J4" s="108"/>
    </row>
    <row r="5" spans="1:10" ht="15.75" x14ac:dyDescent="0.25">
      <c r="C5" s="62"/>
      <c r="D5" s="38"/>
      <c r="E5" s="38"/>
      <c r="F5" s="38"/>
    </row>
    <row r="6" spans="1:10" x14ac:dyDescent="0.2">
      <c r="I6" s="4"/>
    </row>
    <row r="7" spans="1:10" x14ac:dyDescent="0.2">
      <c r="H7" s="104" t="s">
        <v>0</v>
      </c>
      <c r="I7" s="4"/>
      <c r="J7" s="4"/>
    </row>
    <row r="8" spans="1:10" x14ac:dyDescent="0.2">
      <c r="H8" s="68" t="s">
        <v>135</v>
      </c>
      <c r="I8" s="107">
        <v>210</v>
      </c>
      <c r="J8" s="33" t="s">
        <v>147</v>
      </c>
    </row>
    <row r="9" spans="1:10" x14ac:dyDescent="0.2">
      <c r="H9" s="68" t="s">
        <v>136</v>
      </c>
      <c r="I9" s="107">
        <v>4200</v>
      </c>
      <c r="J9" s="33" t="s">
        <v>147</v>
      </c>
    </row>
    <row r="10" spans="1:10" x14ac:dyDescent="0.2">
      <c r="H10" s="68" t="s">
        <v>137</v>
      </c>
      <c r="I10" s="107">
        <v>15</v>
      </c>
      <c r="J10" s="33" t="s">
        <v>142</v>
      </c>
    </row>
    <row r="11" spans="1:10" x14ac:dyDescent="0.2">
      <c r="H11" s="68" t="s">
        <v>138</v>
      </c>
      <c r="I11" s="107">
        <v>0.3</v>
      </c>
    </row>
    <row r="12" spans="1:10" ht="15.75" customHeight="1" x14ac:dyDescent="0.3">
      <c r="H12" s="68" t="s">
        <v>139</v>
      </c>
      <c r="I12" s="107">
        <v>1.71</v>
      </c>
      <c r="J12" s="33" t="s">
        <v>148</v>
      </c>
    </row>
    <row r="13" spans="1:10" x14ac:dyDescent="0.2">
      <c r="H13" s="68" t="s">
        <v>2</v>
      </c>
      <c r="I13" s="86">
        <v>2.8</v>
      </c>
      <c r="J13" s="33" t="s">
        <v>3</v>
      </c>
    </row>
    <row r="14" spans="1:10" x14ac:dyDescent="0.2">
      <c r="H14" s="68" t="s">
        <v>4</v>
      </c>
      <c r="I14" s="107">
        <v>0</v>
      </c>
      <c r="J14" s="33" t="s">
        <v>149</v>
      </c>
    </row>
    <row r="15" spans="1:10" x14ac:dyDescent="0.2">
      <c r="H15" s="83" t="s">
        <v>143</v>
      </c>
      <c r="I15" s="107">
        <v>0</v>
      </c>
      <c r="J15" s="33" t="s">
        <v>3</v>
      </c>
    </row>
    <row r="18" spans="4:10" x14ac:dyDescent="0.2">
      <c r="H18" s="84" t="s">
        <v>5</v>
      </c>
      <c r="I18" s="85"/>
      <c r="J18" s="40" t="s">
        <v>6</v>
      </c>
    </row>
    <row r="19" spans="4:10" x14ac:dyDescent="0.2">
      <c r="H19" s="68" t="s">
        <v>7</v>
      </c>
      <c r="I19" s="8">
        <f>I13/15</f>
        <v>0.18666666666666665</v>
      </c>
      <c r="J19" s="86">
        <v>0.2</v>
      </c>
    </row>
    <row r="20" spans="4:10" x14ac:dyDescent="0.2">
      <c r="H20" s="68" t="s">
        <v>8</v>
      </c>
      <c r="I20" s="8">
        <f>I13/15</f>
        <v>0.18666666666666665</v>
      </c>
      <c r="J20" s="86">
        <v>0.2</v>
      </c>
    </row>
    <row r="21" spans="4:10" x14ac:dyDescent="0.2">
      <c r="H21" s="68" t="s">
        <v>9</v>
      </c>
      <c r="I21" s="8">
        <f>I13/15</f>
        <v>0.18666666666666665</v>
      </c>
      <c r="J21" s="86">
        <v>0.3</v>
      </c>
    </row>
    <row r="22" spans="4:10" x14ac:dyDescent="0.2">
      <c r="H22" s="68" t="s">
        <v>10</v>
      </c>
      <c r="I22" s="8">
        <v>2.15</v>
      </c>
      <c r="J22" s="86">
        <v>2.15</v>
      </c>
    </row>
    <row r="23" spans="4:10" x14ac:dyDescent="0.2">
      <c r="H23" s="68" t="s">
        <v>140</v>
      </c>
      <c r="I23" s="8">
        <f>I22*1/3</f>
        <v>0.71666666666666667</v>
      </c>
      <c r="J23" s="86">
        <v>1.8</v>
      </c>
    </row>
    <row r="24" spans="4:10" x14ac:dyDescent="0.2">
      <c r="H24" s="68" t="s">
        <v>11</v>
      </c>
      <c r="I24" s="8">
        <f>(I22*2/3)-I21</f>
        <v>1.2466666666666666</v>
      </c>
      <c r="J24" s="86">
        <v>0.15</v>
      </c>
    </row>
    <row r="25" spans="4:10" x14ac:dyDescent="0.2">
      <c r="H25" s="63" t="s">
        <v>141</v>
      </c>
    </row>
    <row r="26" spans="4:10" x14ac:dyDescent="0.2">
      <c r="H26" s="32" t="s">
        <v>12</v>
      </c>
    </row>
    <row r="27" spans="4:10" x14ac:dyDescent="0.2">
      <c r="H27" s="32" t="s">
        <v>13</v>
      </c>
    </row>
    <row r="28" spans="4:10" x14ac:dyDescent="0.2">
      <c r="H28" s="32" t="s">
        <v>14</v>
      </c>
    </row>
    <row r="29" spans="4:10" x14ac:dyDescent="0.2">
      <c r="D29" s="66">
        <f>J20</f>
        <v>0.2</v>
      </c>
      <c r="E29" s="35"/>
      <c r="H29" s="32" t="s">
        <v>15</v>
      </c>
    </row>
    <row r="30" spans="4:10" x14ac:dyDescent="0.2">
      <c r="H30" s="32" t="s">
        <v>144</v>
      </c>
    </row>
    <row r="31" spans="4:10" ht="13.5" thickBot="1" x14ac:dyDescent="0.25">
      <c r="H31" s="1"/>
    </row>
    <row r="32" spans="4:10" ht="13.5" thickBot="1" x14ac:dyDescent="0.25">
      <c r="H32" s="36" t="s">
        <v>16</v>
      </c>
      <c r="I32" s="37"/>
    </row>
    <row r="33" spans="3:10" x14ac:dyDescent="0.2">
      <c r="H33" s="1"/>
    </row>
    <row r="34" spans="3:10" x14ac:dyDescent="0.2">
      <c r="H34" s="34" t="s">
        <v>17</v>
      </c>
    </row>
    <row r="35" spans="3:10" x14ac:dyDescent="0.2">
      <c r="H35" s="68" t="s">
        <v>155</v>
      </c>
      <c r="I35" s="74">
        <f>RADIANS(I10)</f>
        <v>0.26179938779914941</v>
      </c>
      <c r="J35" s="2" t="s">
        <v>18</v>
      </c>
    </row>
    <row r="36" spans="3:10" x14ac:dyDescent="0.2">
      <c r="H36" s="68" t="s">
        <v>166</v>
      </c>
      <c r="I36" s="74">
        <f>1-SIN(I35)</f>
        <v>0.74118095489747926</v>
      </c>
      <c r="J36" s="4"/>
    </row>
    <row r="37" spans="3:10" x14ac:dyDescent="0.2">
      <c r="G37" s="66">
        <f>I13</f>
        <v>2.8</v>
      </c>
      <c r="H37" s="68" t="s">
        <v>167</v>
      </c>
      <c r="I37" s="74">
        <f>1+SIN(I35)</f>
        <v>1.2588190451025207</v>
      </c>
      <c r="J37" s="4"/>
    </row>
    <row r="38" spans="3:10" x14ac:dyDescent="0.2">
      <c r="H38" s="68" t="s">
        <v>19</v>
      </c>
      <c r="I38" s="74">
        <f>I36/I37</f>
        <v>0.58879070648086362</v>
      </c>
      <c r="J38" s="4"/>
    </row>
    <row r="40" spans="3:10" x14ac:dyDescent="0.2">
      <c r="E40" s="38"/>
      <c r="H40" s="68" t="s">
        <v>20</v>
      </c>
      <c r="I40" s="74">
        <f>0.5*Ka*ﻻ*POWER(altura_total,2)</f>
        <v>3.9467818636825247</v>
      </c>
    </row>
    <row r="41" spans="3:10" x14ac:dyDescent="0.2">
      <c r="C41" s="35">
        <f>I15</f>
        <v>0</v>
      </c>
      <c r="H41" s="68" t="s">
        <v>21</v>
      </c>
      <c r="I41" s="74">
        <f>altura_total/3</f>
        <v>0.93333333333333324</v>
      </c>
    </row>
    <row r="43" spans="3:10" ht="15.75" customHeight="1" x14ac:dyDescent="0.2">
      <c r="D43" s="33"/>
      <c r="F43" s="114">
        <f>J19</f>
        <v>0.2</v>
      </c>
      <c r="H43" s="34" t="s">
        <v>22</v>
      </c>
    </row>
    <row r="44" spans="3:10" x14ac:dyDescent="0.2">
      <c r="F44" s="114"/>
      <c r="H44" s="68" t="s">
        <v>23</v>
      </c>
      <c r="I44" s="8">
        <f>sobrecarga/ﻻ</f>
        <v>0</v>
      </c>
    </row>
    <row r="45" spans="3:10" x14ac:dyDescent="0.2">
      <c r="C45" s="64">
        <f>J23</f>
        <v>1.8</v>
      </c>
      <c r="D45" s="64">
        <f>corona</f>
        <v>0.2</v>
      </c>
      <c r="E45" s="64">
        <f>J24</f>
        <v>0.15</v>
      </c>
      <c r="H45" s="68" t="s">
        <v>24</v>
      </c>
      <c r="I45" s="8">
        <f>hsobrealtura*Ka*altura_total*ﻻ</f>
        <v>0</v>
      </c>
    </row>
    <row r="46" spans="3:10" x14ac:dyDescent="0.2">
      <c r="H46" s="68" t="s">
        <v>25</v>
      </c>
      <c r="I46" s="8">
        <f>altura_total/2</f>
        <v>1.4</v>
      </c>
    </row>
    <row r="47" spans="3:10" x14ac:dyDescent="0.2">
      <c r="D47" s="64">
        <f>J22</f>
        <v>2.15</v>
      </c>
      <c r="H47" s="1"/>
      <c r="I47" s="1"/>
      <c r="J47" s="1"/>
    </row>
    <row r="48" spans="3:10" ht="13.5" thickBot="1" x14ac:dyDescent="0.25">
      <c r="H48" s="1"/>
      <c r="I48" s="1"/>
      <c r="J48" s="1"/>
    </row>
    <row r="49" spans="2:10" ht="15.75" customHeight="1" thickBot="1" x14ac:dyDescent="0.25">
      <c r="C49" s="98" t="s">
        <v>26</v>
      </c>
      <c r="D49" s="97"/>
    </row>
    <row r="51" spans="2:10" x14ac:dyDescent="0.2">
      <c r="D51" s="33">
        <f>D29</f>
        <v>0.2</v>
      </c>
      <c r="E51" s="35"/>
      <c r="H51" s="4"/>
      <c r="I51" s="4"/>
      <c r="J51" s="4"/>
    </row>
    <row r="52" spans="2:10" x14ac:dyDescent="0.2">
      <c r="H52" s="4"/>
      <c r="I52" s="4"/>
      <c r="J52" s="4"/>
    </row>
    <row r="53" spans="2:10" x14ac:dyDescent="0.2">
      <c r="H53" s="4"/>
      <c r="I53" s="4"/>
      <c r="J53" s="4"/>
    </row>
    <row r="54" spans="2:10" x14ac:dyDescent="0.2">
      <c r="H54" s="2" t="s">
        <v>145</v>
      </c>
      <c r="I54" s="4"/>
      <c r="J54" s="6"/>
    </row>
    <row r="55" spans="2:10" x14ac:dyDescent="0.2">
      <c r="H55" s="4"/>
      <c r="I55" s="4"/>
      <c r="J55" s="4"/>
    </row>
    <row r="56" spans="2:10" x14ac:dyDescent="0.2">
      <c r="H56" s="4"/>
      <c r="I56" s="5">
        <f>I45</f>
        <v>0</v>
      </c>
      <c r="J56" s="4"/>
    </row>
    <row r="57" spans="2:10" x14ac:dyDescent="0.2">
      <c r="F57" s="64">
        <f>G59-F64</f>
        <v>2.5999999999999996</v>
      </c>
      <c r="H57" s="67"/>
    </row>
    <row r="58" spans="2:10" x14ac:dyDescent="0.2">
      <c r="G58" s="35"/>
    </row>
    <row r="59" spans="2:10" x14ac:dyDescent="0.2">
      <c r="G59" s="66">
        <f>G37</f>
        <v>2.8</v>
      </c>
      <c r="I59" s="2"/>
      <c r="J59" s="4"/>
    </row>
    <row r="60" spans="2:10" x14ac:dyDescent="0.2">
      <c r="G60" s="3" t="s">
        <v>20</v>
      </c>
      <c r="H60" s="5">
        <f>Ea</f>
        <v>3.9467818636825247</v>
      </c>
      <c r="I60" s="2"/>
      <c r="J60" s="6"/>
    </row>
    <row r="61" spans="2:10" x14ac:dyDescent="0.2">
      <c r="E61" s="38"/>
      <c r="H61" s="2"/>
      <c r="I61" s="6">
        <f>I46</f>
        <v>1.4</v>
      </c>
      <c r="J61" s="4"/>
    </row>
    <row r="62" spans="2:10" x14ac:dyDescent="0.2">
      <c r="C62" s="35">
        <f>C41</f>
        <v>0</v>
      </c>
      <c r="E62" s="33"/>
      <c r="H62" s="2"/>
      <c r="I62" s="2"/>
      <c r="J62" s="4"/>
    </row>
    <row r="63" spans="2:10" x14ac:dyDescent="0.2">
      <c r="B63" s="73">
        <f>C62+F64</f>
        <v>0.2</v>
      </c>
      <c r="C63" s="1"/>
      <c r="H63" s="6">
        <f>I41</f>
        <v>0.93333333333333324</v>
      </c>
      <c r="I63" s="2"/>
      <c r="J63" s="4"/>
    </row>
    <row r="64" spans="2:10" ht="15" customHeight="1" x14ac:dyDescent="0.2">
      <c r="D64" s="33"/>
      <c r="F64" s="114">
        <f>F43</f>
        <v>0.2</v>
      </c>
      <c r="H64" s="2"/>
      <c r="I64" s="2"/>
      <c r="J64" s="4"/>
    </row>
    <row r="65" spans="3:18" x14ac:dyDescent="0.2">
      <c r="F65" s="114"/>
      <c r="H65" s="2"/>
      <c r="I65" s="2"/>
      <c r="J65" s="4"/>
    </row>
    <row r="66" spans="3:18" x14ac:dyDescent="0.2">
      <c r="C66" s="1"/>
      <c r="E66" s="1"/>
    </row>
    <row r="67" spans="3:18" x14ac:dyDescent="0.2">
      <c r="C67" s="64">
        <f>C45</f>
        <v>1.8</v>
      </c>
      <c r="D67" s="1"/>
      <c r="E67" s="35">
        <f>E45</f>
        <v>0.15</v>
      </c>
    </row>
    <row r="68" spans="3:18" x14ac:dyDescent="0.2">
      <c r="D68" s="35">
        <f>D47</f>
        <v>2.15</v>
      </c>
    </row>
    <row r="69" spans="3:18" x14ac:dyDescent="0.2">
      <c r="D69" s="35"/>
    </row>
    <row r="70" spans="3:18" ht="13.5" x14ac:dyDescent="0.25">
      <c r="C70" s="116" t="s">
        <v>27</v>
      </c>
      <c r="D70" s="117"/>
      <c r="E70" s="118"/>
      <c r="F70" s="90" t="s">
        <v>28</v>
      </c>
      <c r="G70" s="90" t="s">
        <v>29</v>
      </c>
      <c r="H70" s="90" t="s">
        <v>30</v>
      </c>
      <c r="L70" s="76" t="s">
        <v>31</v>
      </c>
      <c r="M70" s="109" t="s">
        <v>32</v>
      </c>
      <c r="N70" s="110"/>
      <c r="O70" s="76" t="s">
        <v>33</v>
      </c>
      <c r="P70" s="76" t="s">
        <v>34</v>
      </c>
      <c r="Q70" s="77" t="s">
        <v>35</v>
      </c>
      <c r="R70" s="77" t="s">
        <v>36</v>
      </c>
    </row>
    <row r="71" spans="3:18" ht="13.5" x14ac:dyDescent="0.25">
      <c r="C71" s="90"/>
      <c r="D71" s="90" t="s">
        <v>37</v>
      </c>
      <c r="E71" s="90" t="s">
        <v>38</v>
      </c>
      <c r="F71" s="91" t="s">
        <v>39</v>
      </c>
      <c r="G71" s="91" t="s">
        <v>40</v>
      </c>
      <c r="H71" s="91" t="s">
        <v>41</v>
      </c>
      <c r="L71" s="76" t="s">
        <v>42</v>
      </c>
      <c r="M71" s="109" t="s">
        <v>43</v>
      </c>
      <c r="N71" s="110"/>
      <c r="O71" s="78" t="s">
        <v>44</v>
      </c>
      <c r="P71" s="76" t="s">
        <v>45</v>
      </c>
      <c r="Q71" s="77" t="s">
        <v>3</v>
      </c>
      <c r="R71" s="77" t="s">
        <v>46</v>
      </c>
    </row>
    <row r="72" spans="3:18" ht="13.5" x14ac:dyDescent="0.25">
      <c r="C72" s="92"/>
      <c r="D72" s="92" t="s">
        <v>47</v>
      </c>
      <c r="E72" s="92" t="s">
        <v>47</v>
      </c>
      <c r="F72" s="92" t="s">
        <v>3</v>
      </c>
      <c r="G72" s="92" t="s">
        <v>48</v>
      </c>
      <c r="H72" s="92" t="s">
        <v>48</v>
      </c>
      <c r="L72" s="42"/>
      <c r="M72" s="43"/>
      <c r="N72" s="43"/>
      <c r="O72" s="41"/>
      <c r="P72" s="44"/>
      <c r="Q72" s="7"/>
      <c r="R72" s="7"/>
    </row>
    <row r="73" spans="3:18" x14ac:dyDescent="0.2">
      <c r="C73" s="8" t="s">
        <v>49</v>
      </c>
      <c r="D73" s="8">
        <f>ROUND(D51*F57*K118*H118,2)</f>
        <v>1.64</v>
      </c>
      <c r="E73" s="8"/>
      <c r="F73" s="8">
        <f>C67+(D51/2)</f>
        <v>1.9000000000000001</v>
      </c>
      <c r="G73" s="8">
        <f>D73*F73</f>
        <v>3.1160000000000001</v>
      </c>
      <c r="H73" s="45"/>
    </row>
    <row r="74" spans="3:18" x14ac:dyDescent="0.2">
      <c r="C74" s="8" t="s">
        <v>50</v>
      </c>
      <c r="D74" s="8">
        <f>ROUND(F64*D68*K118*H118,2)</f>
        <v>1.35</v>
      </c>
      <c r="E74" s="8"/>
      <c r="F74" s="8">
        <f>D68/2</f>
        <v>1.075</v>
      </c>
      <c r="G74" s="8">
        <f>D74*F74</f>
        <v>1.4512499999999999</v>
      </c>
      <c r="H74" s="45"/>
    </row>
    <row r="75" spans="3:18" x14ac:dyDescent="0.2">
      <c r="C75" s="8" t="s">
        <v>51</v>
      </c>
      <c r="D75" s="8">
        <f>ROUND(E67*F57*ﻻ*CM,2)</f>
        <v>0.88</v>
      </c>
      <c r="E75" s="8"/>
      <c r="F75" s="8">
        <f>C67+D64+(E67/2)</f>
        <v>1.875</v>
      </c>
      <c r="G75" s="8">
        <f>D75*F75</f>
        <v>1.65</v>
      </c>
      <c r="H75" s="45"/>
    </row>
    <row r="76" spans="3:18" x14ac:dyDescent="0.2">
      <c r="C76" s="8" t="s">
        <v>52</v>
      </c>
      <c r="D76" s="8">
        <f>ROUND(sobrecarga*E67*H118,2)</f>
        <v>0</v>
      </c>
      <c r="E76" s="8"/>
      <c r="F76" s="8">
        <f>F75</f>
        <v>1.875</v>
      </c>
      <c r="G76" s="8">
        <f>D76*F76</f>
        <v>0</v>
      </c>
      <c r="H76" s="45"/>
    </row>
    <row r="77" spans="3:18" x14ac:dyDescent="0.2">
      <c r="C77" s="8" t="s">
        <v>53</v>
      </c>
      <c r="D77" s="8">
        <f>ROUND(H118*C67*C62*ﻻ,2)</f>
        <v>0</v>
      </c>
      <c r="E77" s="8"/>
      <c r="F77" s="8">
        <f>C67/2</f>
        <v>0.9</v>
      </c>
      <c r="G77" s="8">
        <f>D77*F77</f>
        <v>0</v>
      </c>
      <c r="H77" s="45"/>
    </row>
    <row r="78" spans="3:18" x14ac:dyDescent="0.2">
      <c r="C78" s="8" t="s">
        <v>20</v>
      </c>
      <c r="D78" s="8"/>
      <c r="E78" s="8">
        <f>Ea*F117</f>
        <v>7.2522116745166398</v>
      </c>
      <c r="F78" s="8">
        <f>I41</f>
        <v>0.93333333333333324</v>
      </c>
      <c r="G78" s="35" t="s">
        <v>54</v>
      </c>
      <c r="H78" s="8">
        <f>E78*F78</f>
        <v>6.7687308962155299</v>
      </c>
    </row>
    <row r="79" spans="3:18" x14ac:dyDescent="0.2">
      <c r="C79" s="8" t="s">
        <v>24</v>
      </c>
      <c r="D79" s="8"/>
      <c r="E79" s="8">
        <f>I45*F117</f>
        <v>0</v>
      </c>
      <c r="F79" s="8">
        <f>I46</f>
        <v>1.4</v>
      </c>
      <c r="G79" s="8"/>
      <c r="H79" s="8">
        <f>E79*F79</f>
        <v>0</v>
      </c>
    </row>
    <row r="80" spans="3:18" x14ac:dyDescent="0.2">
      <c r="C80" s="47"/>
      <c r="D80" s="9">
        <f>SUM(D73:D79)</f>
        <v>3.87</v>
      </c>
      <c r="E80" s="9">
        <f>SUM(E78:E79)</f>
        <v>7.2522116745166398</v>
      </c>
      <c r="F80" s="47"/>
      <c r="G80" s="9">
        <f>SUM(G73:G79)</f>
        <v>6.2172499999999999</v>
      </c>
      <c r="H80" s="9">
        <f>SUM(H78:H79)</f>
        <v>6.7687308962155299</v>
      </c>
    </row>
    <row r="81" spans="3:10" x14ac:dyDescent="0.2">
      <c r="C81" s="47"/>
      <c r="D81" s="13"/>
      <c r="E81" s="13"/>
      <c r="F81" s="47"/>
      <c r="G81" s="47"/>
      <c r="H81" s="47"/>
      <c r="I81" s="13"/>
      <c r="J81" s="17"/>
    </row>
    <row r="82" spans="3:10" x14ac:dyDescent="0.2">
      <c r="C82" s="65" t="s">
        <v>55</v>
      </c>
      <c r="F82" s="10">
        <f>(coeficientedefriccion*D80)/E80</f>
        <v>0.16008909448680436</v>
      </c>
      <c r="H82" s="47">
        <f>Ea*(G37)/3</f>
        <v>3.6836630727703561</v>
      </c>
      <c r="I82" s="32" t="s">
        <v>56</v>
      </c>
    </row>
    <row r="83" spans="3:10" ht="13.5" x14ac:dyDescent="0.25">
      <c r="C83" s="49" t="s">
        <v>57</v>
      </c>
      <c r="D83" s="50" t="s">
        <v>58</v>
      </c>
      <c r="E83" s="31">
        <f>(G80+H80)/H78</f>
        <v>1.9185252147453715</v>
      </c>
      <c r="F83" s="51" t="str">
        <f>IF(E83&gt;=2,"OK DESLIZAMIENTO","OK Deslizamiento")</f>
        <v>OK Deslizamiento</v>
      </c>
      <c r="G83" s="52"/>
      <c r="H83" s="75" t="s">
        <v>58</v>
      </c>
      <c r="I83" s="8">
        <v>1.5525930213135422</v>
      </c>
      <c r="J83" s="79" t="str">
        <f>IF(I83&gt;=1.5,"OK","DISEÑAR LLAVE")</f>
        <v>OK</v>
      </c>
    </row>
    <row r="84" spans="3:10" ht="12.75" customHeight="1" x14ac:dyDescent="0.2">
      <c r="C84" s="111" t="s">
        <v>59</v>
      </c>
      <c r="D84" s="111"/>
      <c r="E84" s="31">
        <f>(G80-H80)/D80</f>
        <v>-0.14250152356990439</v>
      </c>
      <c r="F84" s="32" t="s">
        <v>3</v>
      </c>
      <c r="G84" s="112" t="str">
        <f>IF(AND(E84&gt;I84,E84&lt;I85),"RESULTANTE EN TERCIO MEDIO","REVISAR DIMENSIONES")</f>
        <v>REVISAR DIMENSIONES</v>
      </c>
      <c r="H84" s="8" t="s">
        <v>60</v>
      </c>
      <c r="I84" s="8">
        <f>D68/3</f>
        <v>0.71666666666666667</v>
      </c>
      <c r="J84" s="40" t="s">
        <v>3</v>
      </c>
    </row>
    <row r="85" spans="3:10" ht="13.5" thickBot="1" x14ac:dyDescent="0.25">
      <c r="G85" s="113"/>
      <c r="H85" s="8" t="s">
        <v>61</v>
      </c>
      <c r="I85" s="8">
        <f>(2*D68)/3</f>
        <v>1.4333333333333333</v>
      </c>
      <c r="J85" s="40" t="s">
        <v>3</v>
      </c>
    </row>
    <row r="86" spans="3:10" ht="13.5" thickBot="1" x14ac:dyDescent="0.25">
      <c r="C86" s="88" t="s">
        <v>62</v>
      </c>
      <c r="D86" s="39"/>
    </row>
    <row r="87" spans="3:10" ht="15.75" x14ac:dyDescent="0.3">
      <c r="C87" s="87" t="s">
        <v>152</v>
      </c>
      <c r="D87" s="89">
        <v>50</v>
      </c>
      <c r="E87" s="32" t="s">
        <v>63</v>
      </c>
      <c r="F87" s="74" t="s">
        <v>64</v>
      </c>
      <c r="G87" s="8">
        <f>1*D87</f>
        <v>50</v>
      </c>
    </row>
    <row r="88" spans="3:10" x14ac:dyDescent="0.2">
      <c r="C88" s="8" t="s">
        <v>65</v>
      </c>
      <c r="D88" s="8">
        <f>(D67/2)-E84</f>
        <v>0.14250152356990439</v>
      </c>
      <c r="E88" s="32" t="s">
        <v>3</v>
      </c>
    </row>
    <row r="89" spans="3:10" ht="13.5" x14ac:dyDescent="0.25">
      <c r="C89" s="8" t="s">
        <v>66</v>
      </c>
      <c r="D89" s="8">
        <f>(SumVerticales/Base)*(1+((6*e)/Base))</f>
        <v>2.5158216067697521</v>
      </c>
      <c r="E89" s="32" t="s">
        <v>63</v>
      </c>
      <c r="F89" s="53"/>
      <c r="G89" s="54" t="str">
        <f>IF(AND(D89&lt;G87,D90&lt;G87),"MENORES QUE ESFUERZO ULTIMO","REVISAR")</f>
        <v>MENORES QUE ESFUERZO ULTIMO</v>
      </c>
      <c r="H89" s="53"/>
    </row>
    <row r="90" spans="3:10" x14ac:dyDescent="0.2">
      <c r="C90" s="8" t="s">
        <v>67</v>
      </c>
      <c r="D90" s="8">
        <f>(SumVerticales/Base)*(1-((6*e)/Base))</f>
        <v>1.0841783932302478</v>
      </c>
      <c r="E90" s="32" t="s">
        <v>63</v>
      </c>
    </row>
    <row r="91" spans="3:10" x14ac:dyDescent="0.2">
      <c r="C91" s="69"/>
      <c r="D91" s="69"/>
    </row>
    <row r="93" spans="3:10" x14ac:dyDescent="0.2">
      <c r="D93" s="46" t="s">
        <v>68</v>
      </c>
    </row>
    <row r="94" spans="3:10" x14ac:dyDescent="0.2">
      <c r="H94" s="31" t="s">
        <v>69</v>
      </c>
      <c r="I94" s="31">
        <f>(((C99-G98)*E97)/E104)+G98</f>
        <v>1.1943047942717482</v>
      </c>
    </row>
    <row r="95" spans="3:10" x14ac:dyDescent="0.2">
      <c r="D95" s="46" t="s">
        <v>9</v>
      </c>
    </row>
    <row r="96" spans="3:10" x14ac:dyDescent="0.2">
      <c r="D96" s="46"/>
    </row>
    <row r="97" spans="3:10" x14ac:dyDescent="0.2">
      <c r="D97" s="31">
        <f>C67</f>
        <v>1.8</v>
      </c>
      <c r="E97" s="11">
        <f>E67+D64</f>
        <v>0.15</v>
      </c>
      <c r="F97" s="11"/>
    </row>
    <row r="98" spans="3:10" x14ac:dyDescent="0.2">
      <c r="G98" s="31">
        <f>ABS(D90)</f>
        <v>1.0841783932302478</v>
      </c>
      <c r="H98" s="8" t="s">
        <v>70</v>
      </c>
      <c r="I98" s="8">
        <f>0.5*(C99+I94)*D97</f>
        <v>3.3391137609373502</v>
      </c>
    </row>
    <row r="99" spans="3:10" x14ac:dyDescent="0.2">
      <c r="C99" s="12">
        <f>D89</f>
        <v>2.5158216067697521</v>
      </c>
      <c r="D99" s="12" t="s">
        <v>69</v>
      </c>
      <c r="H99" s="8" t="s">
        <v>71</v>
      </c>
      <c r="I99" s="8">
        <f>(I94+G98)*0.5*E97</f>
        <v>0.17088623906264969</v>
      </c>
    </row>
    <row r="100" spans="3:10" x14ac:dyDescent="0.2">
      <c r="H100" s="75" t="s">
        <v>72</v>
      </c>
      <c r="I100" s="9">
        <f>I98+I99</f>
        <v>3.51</v>
      </c>
    </row>
    <row r="101" spans="3:10" x14ac:dyDescent="0.2">
      <c r="H101" s="1"/>
      <c r="I101" s="1"/>
    </row>
    <row r="104" spans="3:10" x14ac:dyDescent="0.2">
      <c r="E104" s="31">
        <f>E97+D97</f>
        <v>1.95</v>
      </c>
      <c r="H104" s="31" t="s">
        <v>73</v>
      </c>
      <c r="I104" s="31">
        <f>(1+SIN(RADIANS(17))/(1-SIN(RADIANS(17))))</f>
        <v>1.4131713028916963</v>
      </c>
    </row>
    <row r="105" spans="3:10" ht="13.5" thickBot="1" x14ac:dyDescent="0.25"/>
    <row r="106" spans="3:10" ht="13.5" thickBot="1" x14ac:dyDescent="0.25">
      <c r="C106" s="36" t="s">
        <v>74</v>
      </c>
      <c r="D106" s="39"/>
    </row>
    <row r="107" spans="3:10" x14ac:dyDescent="0.2">
      <c r="C107" s="48" t="s">
        <v>75</v>
      </c>
      <c r="H107" s="31"/>
    </row>
    <row r="108" spans="3:10" x14ac:dyDescent="0.2">
      <c r="C108" s="8" t="s">
        <v>20</v>
      </c>
      <c r="D108" s="8">
        <f>0.5*Ka*ﻻ*(G37-F43)*(G37-F43)</f>
        <v>3.4030925253180948</v>
      </c>
      <c r="E108" s="68" t="s">
        <v>76</v>
      </c>
      <c r="F108" s="120" t="s">
        <v>77</v>
      </c>
      <c r="G108" s="120"/>
      <c r="H108" s="31"/>
      <c r="I108" s="8" t="s">
        <v>78</v>
      </c>
      <c r="J108" s="45">
        <f>(G59-F64)/3</f>
        <v>0.86666666666666659</v>
      </c>
    </row>
    <row r="109" spans="3:10" x14ac:dyDescent="0.2">
      <c r="C109" s="8" t="s">
        <v>79</v>
      </c>
      <c r="D109" s="8">
        <f>sobrecarga*Ka*(G37-F43)</f>
        <v>0</v>
      </c>
      <c r="E109" s="68" t="s">
        <v>76</v>
      </c>
      <c r="F109" s="120" t="s">
        <v>80</v>
      </c>
      <c r="G109" s="120"/>
      <c r="H109" s="70"/>
      <c r="I109" s="8" t="s">
        <v>81</v>
      </c>
      <c r="J109" s="45">
        <f>(G59-F64)/2</f>
        <v>1.2999999999999998</v>
      </c>
    </row>
    <row r="110" spans="3:10" x14ac:dyDescent="0.2">
      <c r="D110" s="31"/>
      <c r="E110" s="31"/>
      <c r="I110" s="31"/>
      <c r="J110" s="16"/>
    </row>
    <row r="111" spans="3:10" x14ac:dyDescent="0.2">
      <c r="C111" s="17" t="s">
        <v>82</v>
      </c>
    </row>
    <row r="112" spans="3:10" ht="15" x14ac:dyDescent="0.2">
      <c r="C112" s="8" t="s">
        <v>83</v>
      </c>
      <c r="D112" s="8">
        <f>D108*H118+D109*F117</f>
        <v>4.4665589394799996</v>
      </c>
      <c r="E112" s="8" t="s">
        <v>84</v>
      </c>
      <c r="F112" s="68" t="s">
        <v>85</v>
      </c>
      <c r="G112" s="8" t="s">
        <v>158</v>
      </c>
      <c r="H112" s="8">
        <f>0.85*0.53*SQRT(fc__)</f>
        <v>6.5283652241583416</v>
      </c>
      <c r="I112" s="31" t="s">
        <v>160</v>
      </c>
      <c r="J112" s="32"/>
    </row>
    <row r="113" spans="3:11" x14ac:dyDescent="0.2">
      <c r="C113" s="8" t="s">
        <v>86</v>
      </c>
      <c r="D113" s="8">
        <f>(D51-0.06)*100</f>
        <v>14.000000000000002</v>
      </c>
      <c r="E113" s="8" t="s">
        <v>87</v>
      </c>
      <c r="F113" s="68"/>
      <c r="G113" s="68"/>
      <c r="H113" s="40" t="s">
        <v>88</v>
      </c>
    </row>
    <row r="114" spans="3:11" x14ac:dyDescent="0.2">
      <c r="C114" s="8" t="s">
        <v>89</v>
      </c>
      <c r="D114" s="8">
        <f>(D112*1000)/(100*D113)</f>
        <v>3.1903992424857139</v>
      </c>
      <c r="E114" s="8" t="s">
        <v>1</v>
      </c>
      <c r="F114" s="68" t="s">
        <v>90</v>
      </c>
      <c r="G114" s="8" t="s">
        <v>159</v>
      </c>
      <c r="H114" s="72" t="str">
        <f>IF(D114&lt;H112,"OK","REVISAR")</f>
        <v>OK</v>
      </c>
    </row>
    <row r="116" spans="3:11" x14ac:dyDescent="0.2">
      <c r="C116" s="17" t="s">
        <v>92</v>
      </c>
      <c r="D116" s="31"/>
      <c r="E116" s="1"/>
      <c r="F116" s="1"/>
      <c r="G116" s="1"/>
    </row>
    <row r="117" spans="3:11" x14ac:dyDescent="0.2">
      <c r="C117" s="13"/>
      <c r="D117" s="70"/>
      <c r="E117" s="2" t="s">
        <v>93</v>
      </c>
      <c r="F117" s="2">
        <f>1.75*1.05</f>
        <v>1.8375000000000001</v>
      </c>
      <c r="G117" s="2" t="s">
        <v>94</v>
      </c>
    </row>
    <row r="118" spans="3:11" x14ac:dyDescent="0.2">
      <c r="C118" s="8" t="s">
        <v>95</v>
      </c>
      <c r="D118" s="8">
        <f>CM*D108*J108/1.05+CV/CV*D109*J109*0</f>
        <v>3.6866835690946025</v>
      </c>
      <c r="E118" s="8" t="s">
        <v>96</v>
      </c>
      <c r="F118" s="71"/>
      <c r="G118" s="71"/>
      <c r="H118" s="68">
        <f>1.25*1.05</f>
        <v>1.3125</v>
      </c>
      <c r="I118" s="119" t="s">
        <v>161</v>
      </c>
      <c r="J118" s="119"/>
      <c r="K118" s="8">
        <f>2.4</f>
        <v>2.4</v>
      </c>
    </row>
    <row r="119" spans="3:11" x14ac:dyDescent="0.2">
      <c r="G119" s="93" t="s">
        <v>97</v>
      </c>
      <c r="H119" s="94">
        <f>IF(D126&gt;D127,D126,D127)</f>
        <v>5.3074929814933012E-3</v>
      </c>
    </row>
    <row r="120" spans="3:11" x14ac:dyDescent="0.2">
      <c r="C120" s="14" t="s">
        <v>3</v>
      </c>
      <c r="D120" s="14">
        <f>Fy__/(0.85*fc__)</f>
        <v>23.529411764705884</v>
      </c>
      <c r="E120" s="55" t="s">
        <v>98</v>
      </c>
      <c r="F120" s="55"/>
      <c r="G120" s="18" t="s">
        <v>99</v>
      </c>
      <c r="H120" s="9">
        <f>H119*100*D113</f>
        <v>7.4304901740906226</v>
      </c>
      <c r="I120" s="45" t="s">
        <v>162</v>
      </c>
    </row>
    <row r="121" spans="3:11" x14ac:dyDescent="0.2">
      <c r="C121" s="14"/>
      <c r="D121" s="14"/>
      <c r="E121" s="55"/>
      <c r="F121" s="55"/>
      <c r="G121" s="15"/>
      <c r="H121" s="13"/>
      <c r="I121" s="16"/>
    </row>
    <row r="122" spans="3:11" x14ac:dyDescent="0.2">
      <c r="C122" s="14" t="s">
        <v>101</v>
      </c>
      <c r="D122" s="14">
        <f>Mu*100000/(0.9*100*D113*D113)</f>
        <v>20.899566718223369</v>
      </c>
      <c r="E122" s="55" t="s">
        <v>102</v>
      </c>
      <c r="F122" s="55"/>
      <c r="H122" s="17" t="s">
        <v>103</v>
      </c>
    </row>
    <row r="123" spans="3:11" x14ac:dyDescent="0.2">
      <c r="C123" s="14" t="s">
        <v>104</v>
      </c>
      <c r="D123" s="14">
        <f>(2*Rn*m)/Fy__</f>
        <v>0.23416881477000975</v>
      </c>
      <c r="E123" s="55"/>
      <c r="F123" s="55"/>
      <c r="G123" s="18"/>
      <c r="H123" s="18" t="s">
        <v>105</v>
      </c>
      <c r="I123" s="8" t="s">
        <v>106</v>
      </c>
    </row>
    <row r="124" spans="3:11" x14ac:dyDescent="0.2">
      <c r="C124" s="14" t="s">
        <v>107</v>
      </c>
      <c r="D124" s="14">
        <f>1/m</f>
        <v>4.2499999999999996E-2</v>
      </c>
      <c r="E124" s="55"/>
      <c r="F124" s="55"/>
      <c r="G124" s="19" t="str">
        <f t="shared" ref="G124:G129" si="0">CONCATENATE("θ",D132)</f>
        <v>θ6</v>
      </c>
      <c r="H124" s="8">
        <f t="shared" ref="H124:H129" si="1">100/($H$120/E132)</f>
        <v>3.8051774808744003</v>
      </c>
      <c r="I124" s="8">
        <f t="shared" ref="I124:I129" si="2">ROUNDDOWN(H124,0)</f>
        <v>3</v>
      </c>
    </row>
    <row r="125" spans="3:11" x14ac:dyDescent="0.2">
      <c r="C125" s="14" t="s">
        <v>108</v>
      </c>
      <c r="D125" s="14">
        <f>SQRT((1-_2Rn_m_fy))</f>
        <v>0.87511781220015761</v>
      </c>
      <c r="E125" s="55"/>
      <c r="F125" s="55"/>
      <c r="G125" s="19" t="str">
        <f t="shared" si="0"/>
        <v>θ8</v>
      </c>
      <c r="H125" s="8">
        <f t="shared" si="1"/>
        <v>6.7647599659989339</v>
      </c>
      <c r="I125" s="8">
        <f t="shared" si="2"/>
        <v>6</v>
      </c>
    </row>
    <row r="126" spans="3:11" x14ac:dyDescent="0.2">
      <c r="C126" s="8" t="s">
        <v>109</v>
      </c>
      <c r="D126" s="80">
        <f>_1_m*(1-raiz_1_2Rn_m_fy)</f>
        <v>5.3074929814933012E-3</v>
      </c>
      <c r="E126" s="71"/>
      <c r="G126" s="19" t="str">
        <f t="shared" si="0"/>
        <v>θ10</v>
      </c>
      <c r="H126" s="8">
        <f t="shared" si="1"/>
        <v>10.569937446873334</v>
      </c>
      <c r="I126" s="8">
        <f t="shared" si="2"/>
        <v>10</v>
      </c>
    </row>
    <row r="127" spans="3:11" x14ac:dyDescent="0.2">
      <c r="C127" s="81" t="s">
        <v>110</v>
      </c>
      <c r="D127" s="80">
        <f>14/Fy__</f>
        <v>3.3333333333333335E-3</v>
      </c>
      <c r="E127" s="71"/>
      <c r="G127" s="19" t="str">
        <f t="shared" si="0"/>
        <v>θ12</v>
      </c>
      <c r="H127" s="8">
        <f t="shared" si="1"/>
        <v>15.220709923497601</v>
      </c>
      <c r="I127" s="8">
        <f t="shared" si="2"/>
        <v>15</v>
      </c>
    </row>
    <row r="128" spans="3:11" x14ac:dyDescent="0.2">
      <c r="C128" s="81" t="s">
        <v>111</v>
      </c>
      <c r="D128" s="8">
        <f>0.0018*100*(D29+D29)*100*0.5</f>
        <v>3.5999999999999996</v>
      </c>
      <c r="E128" s="71" t="s">
        <v>112</v>
      </c>
      <c r="G128" s="19" t="str">
        <f t="shared" si="0"/>
        <v>θ16</v>
      </c>
      <c r="H128" s="8">
        <f t="shared" si="1"/>
        <v>27.059039863995736</v>
      </c>
      <c r="I128" s="8">
        <f t="shared" si="2"/>
        <v>27</v>
      </c>
    </row>
    <row r="129" spans="3:10" x14ac:dyDescent="0.2">
      <c r="G129" s="19" t="str">
        <f t="shared" si="0"/>
        <v>θ20</v>
      </c>
      <c r="H129" s="8">
        <f t="shared" si="1"/>
        <v>42.279749787493337</v>
      </c>
      <c r="I129" s="8">
        <f t="shared" si="2"/>
        <v>42</v>
      </c>
    </row>
    <row r="131" spans="3:10" ht="15" x14ac:dyDescent="0.2">
      <c r="D131" s="18" t="s">
        <v>155</v>
      </c>
      <c r="E131" s="8" t="s">
        <v>163</v>
      </c>
      <c r="G131" s="21" t="s">
        <v>113</v>
      </c>
      <c r="H131" s="22"/>
      <c r="I131" s="22"/>
    </row>
    <row r="132" spans="3:10" x14ac:dyDescent="0.2">
      <c r="D132" s="19">
        <v>6</v>
      </c>
      <c r="E132" s="8">
        <f t="shared" ref="E132:E137" si="3">PI()*(D132/10)^2/4</f>
        <v>0.28274333882308139</v>
      </c>
      <c r="G132" s="19" t="s">
        <v>114</v>
      </c>
      <c r="H132" s="8">
        <f>D128/2</f>
        <v>1.7999999999999998</v>
      </c>
      <c r="I132" s="19" t="s">
        <v>100</v>
      </c>
    </row>
    <row r="133" spans="3:10" x14ac:dyDescent="0.2">
      <c r="D133" s="19">
        <v>8</v>
      </c>
      <c r="E133" s="8">
        <f t="shared" si="3"/>
        <v>0.50265482457436694</v>
      </c>
      <c r="G133" s="18"/>
      <c r="H133" s="18" t="s">
        <v>105</v>
      </c>
      <c r="I133" s="18" t="s">
        <v>115</v>
      </c>
    </row>
    <row r="134" spans="3:10" x14ac:dyDescent="0.2">
      <c r="D134" s="19">
        <v>10</v>
      </c>
      <c r="E134" s="8">
        <f t="shared" si="3"/>
        <v>0.78539816339744828</v>
      </c>
      <c r="G134" s="19" t="str">
        <f>CONCATENATE("θ",D133)</f>
        <v>θ8</v>
      </c>
      <c r="H134" s="18">
        <f>100/($H$132/E133)</f>
        <v>27.925268031909276</v>
      </c>
      <c r="I134" s="19">
        <f>ROUND(H134,0)</f>
        <v>28</v>
      </c>
    </row>
    <row r="135" spans="3:10" x14ac:dyDescent="0.2">
      <c r="D135" s="19">
        <v>12</v>
      </c>
      <c r="E135" s="8">
        <f t="shared" si="3"/>
        <v>1.1309733552923256</v>
      </c>
      <c r="G135" s="19" t="str">
        <f>CONCATENATE("θ",D134)</f>
        <v>θ10</v>
      </c>
      <c r="H135" s="18">
        <f>100/($H$132/E134)</f>
        <v>43.633231299858245</v>
      </c>
      <c r="I135" s="19">
        <f>ROUND(H135,0)</f>
        <v>44</v>
      </c>
    </row>
    <row r="136" spans="3:10" x14ac:dyDescent="0.2">
      <c r="D136" s="19">
        <v>16</v>
      </c>
      <c r="E136" s="8">
        <f t="shared" si="3"/>
        <v>2.0106192982974678</v>
      </c>
      <c r="G136" s="19" t="str">
        <f>CONCATENATE("θ",D135)</f>
        <v>θ12</v>
      </c>
      <c r="H136" s="18">
        <f>100/($H$132/E135)</f>
        <v>62.831853071795869</v>
      </c>
      <c r="I136" s="19">
        <f>ROUND(H136,0)</f>
        <v>63</v>
      </c>
    </row>
    <row r="137" spans="3:10" x14ac:dyDescent="0.2">
      <c r="D137" s="19">
        <v>20</v>
      </c>
      <c r="E137" s="8">
        <f t="shared" si="3"/>
        <v>3.1415926535897931</v>
      </c>
      <c r="G137" s="19" t="str">
        <f>CONCATENATE("θ",D136)</f>
        <v>θ16</v>
      </c>
      <c r="H137" s="18">
        <f>100/($H$132/E136)</f>
        <v>111.7010721276371</v>
      </c>
      <c r="I137" s="19">
        <f>ROUND(H137,0)</f>
        <v>112</v>
      </c>
    </row>
    <row r="138" spans="3:10" x14ac:dyDescent="0.2">
      <c r="C138" s="65" t="s">
        <v>150</v>
      </c>
    </row>
    <row r="139" spans="3:10" x14ac:dyDescent="0.2">
      <c r="H139" s="1"/>
      <c r="I139" s="1"/>
    </row>
    <row r="141" spans="3:10" x14ac:dyDescent="0.2">
      <c r="D141" s="46" t="s">
        <v>68</v>
      </c>
      <c r="H141" s="8" t="s">
        <v>86</v>
      </c>
      <c r="I141" s="8">
        <f>(F64-0.06)*100</f>
        <v>14.000000000000002</v>
      </c>
    </row>
    <row r="142" spans="3:10" x14ac:dyDescent="0.2">
      <c r="H142" s="8" t="s">
        <v>116</v>
      </c>
      <c r="I142" s="74">
        <f>(((C147+E147)*D144*0.5)/1.05-(C143*D144*peHA*CM))-relleno*1.5*1.05</f>
        <v>2.0461083437498573</v>
      </c>
      <c r="J142" s="16" t="s">
        <v>117</v>
      </c>
    </row>
    <row r="143" spans="3:10" x14ac:dyDescent="0.2">
      <c r="C143" s="35">
        <f>F43</f>
        <v>0.2</v>
      </c>
      <c r="D143" s="46" t="s">
        <v>9</v>
      </c>
      <c r="H143" s="8" t="s">
        <v>95</v>
      </c>
      <c r="I143" s="74">
        <f>E147*D144*D144/2+(C147-E147)/2*D144*D144/3*2-relleno*D144/2-C143*peHA*D144*D144/2*CM</f>
        <v>2.3414119242180766</v>
      </c>
      <c r="J143" s="16" t="s">
        <v>96</v>
      </c>
    </row>
    <row r="144" spans="3:10" x14ac:dyDescent="0.2">
      <c r="D144" s="31">
        <f>D97</f>
        <v>1.8</v>
      </c>
      <c r="E144" s="11">
        <f>E97</f>
        <v>0.15</v>
      </c>
      <c r="F144" s="11"/>
      <c r="H144" s="68" t="s">
        <v>89</v>
      </c>
      <c r="I144" s="8">
        <f>I142*1000/(100*I141)</f>
        <v>1.4615059598213265</v>
      </c>
    </row>
    <row r="145" spans="3:12" x14ac:dyDescent="0.2">
      <c r="H145" s="81" t="s">
        <v>91</v>
      </c>
      <c r="I145" s="72" t="str">
        <f>IF(I144&lt;H112,"OK","REVISAR")</f>
        <v>OK</v>
      </c>
    </row>
    <row r="146" spans="3:12" x14ac:dyDescent="0.2">
      <c r="G146" s="31">
        <f>G98</f>
        <v>1.0841783932302478</v>
      </c>
      <c r="H146" s="1"/>
      <c r="I146" s="1"/>
    </row>
    <row r="147" spans="3:12" x14ac:dyDescent="0.2">
      <c r="C147" s="11">
        <f>C99</f>
        <v>2.5158216067697521</v>
      </c>
      <c r="D147" s="12" t="s">
        <v>69</v>
      </c>
      <c r="E147" s="16">
        <f>I94</f>
        <v>1.1943047942717482</v>
      </c>
    </row>
    <row r="148" spans="3:12" x14ac:dyDescent="0.2">
      <c r="H148" s="23" t="s">
        <v>3</v>
      </c>
      <c r="I148" s="24">
        <f>Fy__/(0.85*fc__)</f>
        <v>23.529411764705884</v>
      </c>
    </row>
    <row r="149" spans="3:12" x14ac:dyDescent="0.2">
      <c r="H149" s="23" t="s">
        <v>101</v>
      </c>
      <c r="I149" s="24">
        <f>I143*100000/(0.9*100*I141*I141)</f>
        <v>13.27331022799363</v>
      </c>
    </row>
    <row r="150" spans="3:12" x14ac:dyDescent="0.2">
      <c r="H150" s="23" t="s">
        <v>104</v>
      </c>
      <c r="I150" s="24">
        <f>2*I149*I148/Fy__</f>
        <v>0.14872056277864013</v>
      </c>
    </row>
    <row r="151" spans="3:12" x14ac:dyDescent="0.2">
      <c r="E151" s="31">
        <f>E144+D144</f>
        <v>1.95</v>
      </c>
      <c r="H151" s="23" t="s">
        <v>107</v>
      </c>
      <c r="I151" s="24">
        <f>1/I148</f>
        <v>4.2499999999999996E-2</v>
      </c>
    </row>
    <row r="152" spans="3:12" x14ac:dyDescent="0.2">
      <c r="D152" s="18" t="s">
        <v>118</v>
      </c>
      <c r="E152" s="18" t="s">
        <v>105</v>
      </c>
      <c r="F152" s="18" t="s">
        <v>106</v>
      </c>
      <c r="H152" s="23" t="s">
        <v>108</v>
      </c>
      <c r="I152" s="24">
        <f>SQRT(1-I150)</f>
        <v>0.92264805707342168</v>
      </c>
    </row>
    <row r="153" spans="3:12" x14ac:dyDescent="0.2">
      <c r="D153" s="19" t="str">
        <f>CONCATENATE("Ø  ",D132)</f>
        <v>Ø  6</v>
      </c>
      <c r="E153" s="18">
        <f t="shared" ref="E153:E158" si="4">100/($I$156/E132)</f>
        <v>6.0587858319231715</v>
      </c>
      <c r="F153" s="25">
        <f t="shared" ref="F153:F158" si="5">ROUND(E153,0)</f>
        <v>6</v>
      </c>
      <c r="H153" s="23" t="s">
        <v>109</v>
      </c>
      <c r="I153" s="24">
        <f>I151*(1-I152)</f>
        <v>3.2874575743795783E-3</v>
      </c>
      <c r="L153" s="32" t="s">
        <v>151</v>
      </c>
    </row>
    <row r="154" spans="3:12" x14ac:dyDescent="0.2">
      <c r="D154" s="19" t="str">
        <f>CONCATENATE("Ø  ",D133)</f>
        <v>Ø  8</v>
      </c>
      <c r="E154" s="18">
        <f t="shared" si="4"/>
        <v>10.771174812307862</v>
      </c>
      <c r="F154" s="25">
        <f t="shared" si="5"/>
        <v>11</v>
      </c>
      <c r="H154" s="23" t="s">
        <v>110</v>
      </c>
      <c r="I154" s="24">
        <f>14/Fy__</f>
        <v>3.3333333333333335E-3</v>
      </c>
    </row>
    <row r="155" spans="3:12" x14ac:dyDescent="0.2">
      <c r="D155" s="19" t="str">
        <f>CONCATENATE("Ø ",D134)</f>
        <v>Ø 10</v>
      </c>
      <c r="E155" s="18">
        <f t="shared" si="4"/>
        <v>16.829960644231029</v>
      </c>
      <c r="F155" s="25">
        <f t="shared" si="5"/>
        <v>17</v>
      </c>
      <c r="H155" s="23" t="s">
        <v>119</v>
      </c>
      <c r="I155" s="24">
        <f>IF(I153&gt;I154,I153,I154)</f>
        <v>3.3333333333333335E-3</v>
      </c>
    </row>
    <row r="156" spans="3:12" ht="15.75" x14ac:dyDescent="0.3">
      <c r="D156" s="19" t="str">
        <f>CONCATENATE("Ø ",D135)</f>
        <v>Ø 12</v>
      </c>
      <c r="E156" s="18">
        <f t="shared" si="4"/>
        <v>24.235143327692686</v>
      </c>
      <c r="F156" s="25">
        <f t="shared" si="5"/>
        <v>24</v>
      </c>
      <c r="H156" s="20" t="s">
        <v>153</v>
      </c>
      <c r="I156" s="82">
        <f>I155*100*I141</f>
        <v>4.6666666666666679</v>
      </c>
    </row>
    <row r="157" spans="3:12" x14ac:dyDescent="0.2">
      <c r="D157" s="19" t="str">
        <f>CONCATENATE("Ø ",D136)</f>
        <v>Ø 16</v>
      </c>
      <c r="E157" s="18">
        <f t="shared" si="4"/>
        <v>43.084699249231448</v>
      </c>
      <c r="F157" s="25">
        <f t="shared" si="5"/>
        <v>43</v>
      </c>
    </row>
    <row r="158" spans="3:12" x14ac:dyDescent="0.2">
      <c r="D158" s="19" t="str">
        <f>CONCATENATE("Ø ",D137)</f>
        <v>Ø 20</v>
      </c>
      <c r="E158" s="18">
        <f t="shared" si="4"/>
        <v>67.319842576924117</v>
      </c>
      <c r="F158" s="25">
        <f t="shared" si="5"/>
        <v>67</v>
      </c>
    </row>
    <row r="159" spans="3:12" x14ac:dyDescent="0.2">
      <c r="C159" s="65" t="s">
        <v>120</v>
      </c>
    </row>
    <row r="161" spans="3:12" x14ac:dyDescent="0.2">
      <c r="G161" s="31" t="s">
        <v>86</v>
      </c>
      <c r="H161" s="31">
        <f>(F64-0.06)*100</f>
        <v>14.000000000000002</v>
      </c>
    </row>
    <row r="162" spans="3:12" x14ac:dyDescent="0.2">
      <c r="G162" s="31" t="s">
        <v>121</v>
      </c>
      <c r="H162" s="31">
        <f>G168+((C169-G168)*F170)/E173</f>
        <v>1.9431643213539505</v>
      </c>
    </row>
    <row r="163" spans="3:12" x14ac:dyDescent="0.2">
      <c r="D163" s="46"/>
      <c r="E163" s="33" t="s">
        <v>154</v>
      </c>
      <c r="G163" s="35"/>
    </row>
    <row r="164" spans="3:12" x14ac:dyDescent="0.2">
      <c r="E164" s="16">
        <f>D51</f>
        <v>0.2</v>
      </c>
      <c r="H164" s="8" t="s">
        <v>83</v>
      </c>
      <c r="I164" s="8">
        <f>(TIERRA+AUTOS)-((G168+H162)*0.5*F170)+(C143*peHA*F170*CM)</f>
        <v>-1.7710140718762977</v>
      </c>
    </row>
    <row r="165" spans="3:12" x14ac:dyDescent="0.2">
      <c r="C165" s="35">
        <f>C143</f>
        <v>0.2</v>
      </c>
      <c r="D165" s="46"/>
      <c r="E165" s="35" t="s">
        <v>65</v>
      </c>
      <c r="H165" s="8" t="s">
        <v>89</v>
      </c>
      <c r="I165" s="8">
        <f>I164*1000/(100*H161)</f>
        <v>-1.2650100513402125</v>
      </c>
      <c r="J165" s="16" t="s">
        <v>1</v>
      </c>
    </row>
    <row r="166" spans="3:12" x14ac:dyDescent="0.2">
      <c r="D166" s="31">
        <f>D144</f>
        <v>1.8</v>
      </c>
      <c r="E166" s="11">
        <f>E144</f>
        <v>0.15</v>
      </c>
      <c r="F166" s="11"/>
      <c r="H166" s="8" t="s">
        <v>91</v>
      </c>
      <c r="I166" s="99" t="str">
        <f>IF(I165&lt;H112,"OK","REVISAR")</f>
        <v>OK</v>
      </c>
    </row>
    <row r="168" spans="3:12" x14ac:dyDescent="0.2">
      <c r="G168" s="31">
        <f>G146</f>
        <v>1.0841783932302478</v>
      </c>
    </row>
    <row r="169" spans="3:12" x14ac:dyDescent="0.2">
      <c r="C169" s="11">
        <f>C147</f>
        <v>2.5158216067697521</v>
      </c>
      <c r="D169" s="12"/>
      <c r="E169" s="16">
        <f>H162</f>
        <v>1.9431643213539505</v>
      </c>
      <c r="H169" s="31" t="s">
        <v>95</v>
      </c>
      <c r="I169" s="31">
        <f>((TIERRA+AUTOS)/1.3125*(talon/2))+(C165*peHA*talon*(talon/2))-(G168*talon*(talon/2))-((E169-G168)*0.5*talon*(talon/3))</f>
        <v>-3.0015673760073831</v>
      </c>
      <c r="J169" s="16" t="s">
        <v>96</v>
      </c>
      <c r="L169" s="32" t="s">
        <v>122</v>
      </c>
    </row>
    <row r="170" spans="3:12" x14ac:dyDescent="0.2">
      <c r="F170" s="16">
        <f>E173-(D166+E164)</f>
        <v>3</v>
      </c>
    </row>
    <row r="171" spans="3:12" x14ac:dyDescent="0.2">
      <c r="H171" s="14" t="s">
        <v>3</v>
      </c>
      <c r="I171" s="14">
        <f>Fy__/(0.85*fc__)</f>
        <v>23.529411764705884</v>
      </c>
    </row>
    <row r="172" spans="3:12" x14ac:dyDescent="0.2">
      <c r="H172" s="14" t="s">
        <v>101</v>
      </c>
      <c r="I172" s="14">
        <f>I169*100000/(0.9*100*H161*H161)</f>
        <v>-17.01568807260421</v>
      </c>
    </row>
    <row r="173" spans="3:12" x14ac:dyDescent="0.2">
      <c r="E173" s="31">
        <v>5</v>
      </c>
      <c r="H173" s="14" t="s">
        <v>104</v>
      </c>
      <c r="I173" s="14">
        <f>2*I172*I171/Fy__</f>
        <v>-0.19065196720004718</v>
      </c>
    </row>
    <row r="174" spans="3:12" x14ac:dyDescent="0.2">
      <c r="H174" s="14" t="s">
        <v>107</v>
      </c>
      <c r="I174" s="14">
        <f>1/I171</f>
        <v>4.2499999999999996E-2</v>
      </c>
    </row>
    <row r="175" spans="3:12" x14ac:dyDescent="0.2">
      <c r="C175" s="18" t="s">
        <v>118</v>
      </c>
      <c r="D175" s="18" t="s">
        <v>105</v>
      </c>
      <c r="E175" s="18" t="s">
        <v>106</v>
      </c>
      <c r="H175" s="14" t="s">
        <v>108</v>
      </c>
      <c r="I175" s="14">
        <f>SQRT(1-I173)</f>
        <v>1.0911699992210413</v>
      </c>
    </row>
    <row r="176" spans="3:12" x14ac:dyDescent="0.2">
      <c r="C176" s="19" t="str">
        <f t="shared" ref="C176:C181" si="6">CONCATENATE("Ø ",D132)</f>
        <v>Ø 6</v>
      </c>
      <c r="D176" s="8">
        <f t="shared" ref="D176:D181" si="7">100/($H$179/E132)</f>
        <v>6.0587858319231715</v>
      </c>
      <c r="E176" s="25">
        <f t="shared" ref="E176:E181" si="8">ROUND(D176,0)</f>
        <v>6</v>
      </c>
      <c r="H176" s="14" t="s">
        <v>109</v>
      </c>
      <c r="I176" s="26">
        <f>I174*(1-I175)</f>
        <v>-3.8747249668942547E-3</v>
      </c>
    </row>
    <row r="177" spans="3:14" x14ac:dyDescent="0.2">
      <c r="C177" s="19" t="str">
        <f t="shared" si="6"/>
        <v>Ø 8</v>
      </c>
      <c r="D177" s="8">
        <f t="shared" si="7"/>
        <v>10.771174812307862</v>
      </c>
      <c r="E177" s="25">
        <f t="shared" si="8"/>
        <v>11</v>
      </c>
      <c r="G177" s="8" t="s">
        <v>110</v>
      </c>
      <c r="H177" s="74">
        <f>14/Fy__</f>
        <v>3.3333333333333335E-3</v>
      </c>
      <c r="I177" s="33"/>
    </row>
    <row r="178" spans="3:14" x14ac:dyDescent="0.2">
      <c r="C178" s="19" t="str">
        <f t="shared" si="6"/>
        <v>Ø 10</v>
      </c>
      <c r="D178" s="8">
        <f t="shared" si="7"/>
        <v>16.829960644231029</v>
      </c>
      <c r="E178" s="25">
        <f t="shared" si="8"/>
        <v>17</v>
      </c>
      <c r="G178" s="8" t="s">
        <v>156</v>
      </c>
      <c r="H178" s="74">
        <f>IF(I176&gt;H177,I176,H177)</f>
        <v>3.3333333333333335E-3</v>
      </c>
      <c r="I178" s="33"/>
    </row>
    <row r="179" spans="3:14" x14ac:dyDescent="0.2">
      <c r="C179" s="19" t="str">
        <f t="shared" si="6"/>
        <v>Ø 12</v>
      </c>
      <c r="D179" s="8">
        <f t="shared" si="7"/>
        <v>24.235143327692686</v>
      </c>
      <c r="E179" s="25">
        <f t="shared" si="8"/>
        <v>24</v>
      </c>
      <c r="G179" s="8" t="s">
        <v>157</v>
      </c>
      <c r="H179" s="9">
        <f>H178*100*H161</f>
        <v>4.6666666666666679</v>
      </c>
      <c r="I179" s="33"/>
    </row>
    <row r="180" spans="3:14" x14ac:dyDescent="0.2">
      <c r="C180" s="19" t="str">
        <f t="shared" si="6"/>
        <v>Ø 16</v>
      </c>
      <c r="D180" s="8">
        <f t="shared" si="7"/>
        <v>43.084699249231448</v>
      </c>
      <c r="E180" s="25">
        <f t="shared" si="8"/>
        <v>43</v>
      </c>
      <c r="I180" s="33"/>
    </row>
    <row r="181" spans="3:14" x14ac:dyDescent="0.2">
      <c r="C181" s="19" t="str">
        <f t="shared" si="6"/>
        <v>Ø 20</v>
      </c>
      <c r="D181" s="8">
        <f t="shared" si="7"/>
        <v>67.319842576924117</v>
      </c>
      <c r="E181" s="25">
        <f t="shared" si="8"/>
        <v>67</v>
      </c>
      <c r="G181" s="32" t="s">
        <v>123</v>
      </c>
      <c r="I181" s="33"/>
    </row>
    <row r="182" spans="3:14" x14ac:dyDescent="0.2">
      <c r="D182" s="100"/>
      <c r="E182" s="101"/>
      <c r="G182" s="12" t="s">
        <v>109</v>
      </c>
      <c r="H182" s="31">
        <f>0.0018*100*F64*100</f>
        <v>3.5999999999999996</v>
      </c>
      <c r="I182" s="16" t="s">
        <v>100</v>
      </c>
    </row>
    <row r="183" spans="3:14" x14ac:dyDescent="0.2">
      <c r="C183" s="25" t="s">
        <v>124</v>
      </c>
      <c r="D183" s="27">
        <f>14/Fy__</f>
        <v>3.3333333333333335E-3</v>
      </c>
      <c r="E183" s="102"/>
      <c r="G183" s="46" t="s">
        <v>114</v>
      </c>
      <c r="H183" s="31">
        <f>H182/2</f>
        <v>1.7999999999999998</v>
      </c>
      <c r="I183" s="16" t="s">
        <v>100</v>
      </c>
    </row>
    <row r="184" spans="3:14" x14ac:dyDescent="0.2">
      <c r="C184" s="25" t="s">
        <v>125</v>
      </c>
      <c r="D184" s="8">
        <f>D183*100*D113</f>
        <v>4.6666666666666679</v>
      </c>
      <c r="E184" s="103"/>
      <c r="G184" s="18" t="s">
        <v>118</v>
      </c>
      <c r="H184" s="18" t="s">
        <v>105</v>
      </c>
      <c r="I184" s="18" t="s">
        <v>106</v>
      </c>
    </row>
    <row r="185" spans="3:14" x14ac:dyDescent="0.2">
      <c r="C185" s="25" t="str">
        <f>CONCATENATE("Ø ",D134)</f>
        <v>Ø 10</v>
      </c>
      <c r="D185" s="25">
        <f>100/($D$184/E134)</f>
        <v>16.829960644231029</v>
      </c>
      <c r="E185" s="56">
        <f>ROUNDDOWN(D185,0)</f>
        <v>16</v>
      </c>
      <c r="G185" s="19" t="str">
        <f>CONCATENATE("Ø ",D133)</f>
        <v>Ø 8</v>
      </c>
      <c r="H185" s="8">
        <f>100/($H$183/E133)</f>
        <v>27.925268031909276</v>
      </c>
      <c r="I185" s="19">
        <f>ROUND(H185,0)</f>
        <v>28</v>
      </c>
    </row>
    <row r="186" spans="3:14" x14ac:dyDescent="0.2">
      <c r="C186" s="25" t="str">
        <f>CONCATENATE("Ø ",D135)</f>
        <v>Ø 12</v>
      </c>
      <c r="D186" s="25">
        <f>100/($D$184/E135)</f>
        <v>24.235143327692686</v>
      </c>
      <c r="E186" s="56">
        <f>ROUNDDOWN(D186,0)</f>
        <v>24</v>
      </c>
      <c r="G186" s="19" t="str">
        <f>CONCATENATE("Ø ",D134)</f>
        <v>Ø 10</v>
      </c>
      <c r="H186" s="8">
        <f>100/($H$183/E134)</f>
        <v>43.633231299858245</v>
      </c>
      <c r="I186" s="19">
        <f>ROUND(H186,0)</f>
        <v>44</v>
      </c>
    </row>
    <row r="187" spans="3:14" x14ac:dyDescent="0.2">
      <c r="C187" s="25" t="str">
        <f>CONCATENATE("Ø ",D136)</f>
        <v>Ø 16</v>
      </c>
      <c r="D187" s="25">
        <f>100/($D$184/E136)</f>
        <v>43.084699249231448</v>
      </c>
      <c r="E187" s="56">
        <f>ROUNDDOWN(D187,0)</f>
        <v>43</v>
      </c>
      <c r="G187" s="19" t="str">
        <f>CONCATENATE("Ø ",D135)</f>
        <v>Ø 12</v>
      </c>
      <c r="H187" s="8">
        <f>100/($H$183/E135)</f>
        <v>62.831853071795869</v>
      </c>
      <c r="I187" s="19">
        <f>ROUND(H187,0)</f>
        <v>63</v>
      </c>
    </row>
    <row r="188" spans="3:14" x14ac:dyDescent="0.2">
      <c r="D188" s="95"/>
      <c r="E188" s="95"/>
      <c r="F188" s="96"/>
      <c r="H188" s="22"/>
      <c r="I188" s="15"/>
      <c r="J188" s="22"/>
    </row>
    <row r="189" spans="3:14" x14ac:dyDescent="0.2">
      <c r="C189" s="65" t="s">
        <v>126</v>
      </c>
    </row>
    <row r="190" spans="3:14" x14ac:dyDescent="0.2">
      <c r="D190" s="1"/>
      <c r="E190" s="35"/>
    </row>
    <row r="191" spans="3:14" ht="13.5" x14ac:dyDescent="0.25">
      <c r="D191" s="57">
        <f>D29</f>
        <v>0.2</v>
      </c>
      <c r="E191" s="28"/>
      <c r="F191" s="29"/>
      <c r="G191" s="30"/>
    </row>
    <row r="192" spans="3:14" x14ac:dyDescent="0.2">
      <c r="L192" s="32" t="s">
        <v>127</v>
      </c>
      <c r="M192" s="58" t="e">
        <f>RIGHT(#REF!,2)</f>
        <v>#REF!</v>
      </c>
      <c r="N192" s="58" t="e">
        <f>#REF!</f>
        <v>#REF!</v>
      </c>
    </row>
    <row r="193" spans="3:14" x14ac:dyDescent="0.2">
      <c r="E193" s="32" t="s">
        <v>164</v>
      </c>
      <c r="F193" s="1"/>
      <c r="L193" s="32" t="s">
        <v>128</v>
      </c>
      <c r="M193" s="32" t="str">
        <f>RIGHT(G204,2)</f>
        <v/>
      </c>
      <c r="N193" s="58">
        <f>I204</f>
        <v>0</v>
      </c>
    </row>
    <row r="194" spans="3:14" x14ac:dyDescent="0.2">
      <c r="F194" s="1"/>
      <c r="L194" s="32" t="s">
        <v>129</v>
      </c>
      <c r="M194" s="32" t="str">
        <f>RIGHT(E201,2)</f>
        <v/>
      </c>
      <c r="N194" s="58">
        <f>G201</f>
        <v>0</v>
      </c>
    </row>
    <row r="195" spans="3:14" x14ac:dyDescent="0.2">
      <c r="E195" s="32" t="s">
        <v>164</v>
      </c>
      <c r="F195" s="1"/>
      <c r="G195" s="30"/>
      <c r="L195" s="32" t="s">
        <v>130</v>
      </c>
      <c r="M195" s="58" t="str">
        <f>RIGHT(G202,2)</f>
        <v/>
      </c>
      <c r="N195" s="58">
        <f>I202</f>
        <v>0</v>
      </c>
    </row>
    <row r="196" spans="3:14" ht="13.5" x14ac:dyDescent="0.25">
      <c r="C196" s="57">
        <f>G59</f>
        <v>2.8</v>
      </c>
      <c r="E196" s="46"/>
      <c r="L196" s="32" t="s">
        <v>131</v>
      </c>
      <c r="M196" s="58" t="e">
        <f>RIGHT(#REF!,2)</f>
        <v>#REF!</v>
      </c>
      <c r="N196" s="58">
        <f>G195</f>
        <v>0</v>
      </c>
    </row>
    <row r="197" spans="3:14" x14ac:dyDescent="0.2">
      <c r="E197" s="32" t="s">
        <v>165</v>
      </c>
      <c r="F197" s="29"/>
      <c r="G197" s="30"/>
      <c r="L197" s="32" t="s">
        <v>132</v>
      </c>
      <c r="M197" s="32" t="str">
        <f>RIGHT(E191,2)</f>
        <v/>
      </c>
      <c r="N197" s="58">
        <f>G191</f>
        <v>0</v>
      </c>
    </row>
    <row r="198" spans="3:14" x14ac:dyDescent="0.2">
      <c r="L198" s="32" t="s">
        <v>133</v>
      </c>
      <c r="M198" s="32" t="str">
        <f>RIGHT(E201,2)</f>
        <v/>
      </c>
      <c r="N198" s="58">
        <f>G199</f>
        <v>0</v>
      </c>
    </row>
    <row r="199" spans="3:14" x14ac:dyDescent="0.2">
      <c r="E199" s="32" t="s">
        <v>165</v>
      </c>
      <c r="F199" s="29"/>
      <c r="G199" s="30"/>
      <c r="L199" s="32" t="s">
        <v>134</v>
      </c>
      <c r="M199" s="32" t="str">
        <f>RIGHT(E197,2)</f>
        <v>25</v>
      </c>
      <c r="N199" s="58">
        <f>G197</f>
        <v>0</v>
      </c>
    </row>
    <row r="200" spans="3:14" x14ac:dyDescent="0.2">
      <c r="E200" s="38"/>
    </row>
    <row r="201" spans="3:14" ht="13.5" x14ac:dyDescent="0.25">
      <c r="C201" s="59">
        <f>C41</f>
        <v>0</v>
      </c>
      <c r="E201" s="28"/>
      <c r="F201" s="29"/>
      <c r="G201" s="30"/>
    </row>
    <row r="202" spans="3:14" x14ac:dyDescent="0.2">
      <c r="E202" s="32" t="s">
        <v>165</v>
      </c>
      <c r="G202" s="28"/>
      <c r="H202" s="60"/>
      <c r="I202" s="30"/>
    </row>
    <row r="204" spans="3:14" ht="13.5" x14ac:dyDescent="0.25">
      <c r="F204" s="59">
        <f>F43</f>
        <v>0.2</v>
      </c>
      <c r="G204" s="28"/>
      <c r="H204" s="60"/>
      <c r="I204" s="30"/>
    </row>
    <row r="205" spans="3:14" x14ac:dyDescent="0.2">
      <c r="C205" s="1"/>
      <c r="E205" s="1"/>
    </row>
    <row r="206" spans="3:14" x14ac:dyDescent="0.2">
      <c r="C206" s="105">
        <f>C45</f>
        <v>1.8</v>
      </c>
      <c r="E206" s="106">
        <f>E45</f>
        <v>0.15</v>
      </c>
    </row>
    <row r="207" spans="3:14" x14ac:dyDescent="0.2">
      <c r="F207" s="32" t="s">
        <v>165</v>
      </c>
    </row>
    <row r="208" spans="3:14" ht="13.5" x14ac:dyDescent="0.25">
      <c r="D208" s="59">
        <f>D47</f>
        <v>2.15</v>
      </c>
    </row>
    <row r="221" spans="4:4" ht="13.5" x14ac:dyDescent="0.25">
      <c r="D221" s="61">
        <f>D43</f>
        <v>0</v>
      </c>
    </row>
  </sheetData>
  <mergeCells count="11">
    <mergeCell ref="A2:J2"/>
    <mergeCell ref="C70:E70"/>
    <mergeCell ref="I118:J118"/>
    <mergeCell ref="F109:G109"/>
    <mergeCell ref="F108:G108"/>
    <mergeCell ref="M70:N70"/>
    <mergeCell ref="M71:N71"/>
    <mergeCell ref="C84:D84"/>
    <mergeCell ref="G84:G85"/>
    <mergeCell ref="F43:F44"/>
    <mergeCell ref="F64:F65"/>
  </mergeCells>
  <dataValidations count="3">
    <dataValidation type="list" allowBlank="1" showInputMessage="1" showErrorMessage="1" sqref="E191">
      <formula1>$G$134:$G$136</formula1>
    </dataValidation>
    <dataValidation type="list" allowBlank="1" showInputMessage="1" showErrorMessage="1" sqref="E201">
      <formula1>$C$176:$C$181</formula1>
    </dataValidation>
    <dataValidation type="list" allowBlank="1" showInputMessage="1" showErrorMessage="1" sqref="G204 G202">
      <formula1>$G$185:$G$187</formula1>
    </dataValidation>
  </dataValidations>
  <printOptions horizontalCentered="1"/>
  <pageMargins left="0.74803149606299213" right="0.74803149606299213" top="0.94488188976377963" bottom="0.94488188976377963" header="0" footer="0"/>
  <pageSetup scale="76" orientation="portrait" horizontalDpi="300" verticalDpi="300" r:id="rId1"/>
  <headerFooter alignWithMargins="0"/>
  <rowBreaks count="3" manualBreakCount="3">
    <brk id="68" max="9" man="1"/>
    <brk id="104" max="9" man="1"/>
    <brk id="173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31</vt:i4>
      </vt:variant>
    </vt:vector>
  </HeadingPairs>
  <TitlesOfParts>
    <vt:vector size="32" baseType="lpstr">
      <vt:lpstr>MR MEN JP</vt:lpstr>
      <vt:lpstr>'MR MEN JP'!_1_m</vt:lpstr>
      <vt:lpstr>'MR MEN JP'!_2Rn_m_fy</vt:lpstr>
      <vt:lpstr>'MR MEN JP'!altura_total</vt:lpstr>
      <vt:lpstr>'MR MEN JP'!Área_de_impresión</vt:lpstr>
      <vt:lpstr>'MR MEN JP'!AUTOS</vt:lpstr>
      <vt:lpstr>'MR MEN JP'!b</vt:lpstr>
      <vt:lpstr>'MR MEN JP'!Base</vt:lpstr>
      <vt:lpstr>'MR MEN JP'!CM</vt:lpstr>
      <vt:lpstr>'MR MEN JP'!coeficientedefriccion</vt:lpstr>
      <vt:lpstr>'MR MEN JP'!corona</vt:lpstr>
      <vt:lpstr>'MR MEN JP'!CV</vt:lpstr>
      <vt:lpstr>'MR MEN JP'!e</vt:lpstr>
      <vt:lpstr>'MR MEN JP'!Ea</vt:lpstr>
      <vt:lpstr>'MR MEN JP'!espesorzapata</vt:lpstr>
      <vt:lpstr>'MR MEN JP'!fc__</vt:lpstr>
      <vt:lpstr>'MR MEN JP'!Fy__</vt:lpstr>
      <vt:lpstr>'MR MEN JP'!hsobrealtura</vt:lpstr>
      <vt:lpstr>'MR MEN JP'!Ka</vt:lpstr>
      <vt:lpstr>'MR MEN JP'!m</vt:lpstr>
      <vt:lpstr>'MR MEN JP'!Mu</vt:lpstr>
      <vt:lpstr>'MR MEN JP'!Ǿ</vt:lpstr>
      <vt:lpstr>'MR MEN JP'!Ǿrad</vt:lpstr>
      <vt:lpstr>'MR MEN JP'!peHA</vt:lpstr>
      <vt:lpstr>'MR MEN JP'!raiz_1_2Rn_m_fy</vt:lpstr>
      <vt:lpstr>'MR MEN JP'!relleno</vt:lpstr>
      <vt:lpstr>'MR MEN JP'!Rn</vt:lpstr>
      <vt:lpstr>'MR MEN JP'!sobrecarga</vt:lpstr>
      <vt:lpstr>'MR MEN JP'!SumVerticales</vt:lpstr>
      <vt:lpstr>'MR MEN JP'!talon</vt:lpstr>
      <vt:lpstr>'MR MEN JP'!TIERRA</vt:lpstr>
      <vt:lpstr>'MR MEN JP'!ﻻ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JP</dc:creator>
  <cp:lastModifiedBy>Giancarlo</cp:lastModifiedBy>
  <cp:lastPrinted>2016-08-05T02:27:39Z</cp:lastPrinted>
  <dcterms:created xsi:type="dcterms:W3CDTF">2013-07-14T22:30:42Z</dcterms:created>
  <dcterms:modified xsi:type="dcterms:W3CDTF">2016-08-05T02:28:00Z</dcterms:modified>
</cp:coreProperties>
</file>